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50" activeTab="2"/>
  </bookViews>
  <sheets>
    <sheet name="编制说明" sheetId="23" r:id="rId1"/>
    <sheet name="汇总表" sheetId="18" r:id="rId2"/>
    <sheet name="地上装修工程" sheetId="17" r:id="rId3"/>
    <sheet name="电梯轿厢装修工程" sheetId="30" r:id="rId4"/>
    <sheet name="地下室装修工程" sheetId="31" r:id="rId5"/>
    <sheet name="会所安装工程量清单" sheetId="32" r:id="rId6"/>
    <sheet name="措施费" sheetId="25" r:id="rId7"/>
  </sheets>
  <externalReferences>
    <externalReference r:id="rId8"/>
  </externalReferences>
  <definedNames>
    <definedName name="_xlnm._FilterDatabase" localSheetId="2" hidden="1">地上装修工程!$A$3:$O$1038</definedName>
    <definedName name="_xlnm._FilterDatabase" localSheetId="3" hidden="1">电梯轿厢装修工程!$A$2:$L$44</definedName>
    <definedName name="_xlnm._FilterDatabase" localSheetId="4" hidden="1">地下室装修工程!$A$2:$P$302</definedName>
    <definedName name="_xlnm._FilterDatabase" localSheetId="6" hidden="1">措施费!$A$2:$L$7</definedName>
    <definedName name="_xlnm.Print_Area" localSheetId="2">地上装修工程!$A:$L</definedName>
    <definedName name="_xlnm.Print_Titles" localSheetId="2">地上装修工程!$1:$3</definedName>
    <definedName name="_____ngk1109" localSheetId="2" hidden="1">{#N/A,#N/A,FALSE,"估價單  (3)"}</definedName>
    <definedName name="___ngk1109" localSheetId="2" hidden="1">{#N/A,#N/A,FALSE,"估價單  (3)"}</definedName>
    <definedName name="___________________N81020">[1]地梁!#REF!</definedName>
    <definedName name="_xlnm.Print_Area" localSheetId="1">汇总表!$A$1:$H$17</definedName>
    <definedName name="dw">#REF!</definedName>
    <definedName name="_xlnm.Print_Area" localSheetId="0">编制说明!$A$1:$A$20</definedName>
    <definedName name="_xlnm.Print_Area" localSheetId="6">措施费!$A$1:$L$7</definedName>
    <definedName name="_xlnm.Print_Titles" localSheetId="6">措施费!$1:$2</definedName>
    <definedName name="_____ngk1109" localSheetId="6" hidden="1">{#N/A,#N/A,FALSE,"估價單  (3)"}</definedName>
    <definedName name="___ngk1109" localSheetId="6" hidden="1">{#N/A,#N/A,FALSE,"估價單  (3)"}</definedName>
    <definedName name="dw" localSheetId="3">#REF!</definedName>
    <definedName name="_xlnm.Print_Area" localSheetId="3">电梯轿厢装修工程!$A$1:$L$44</definedName>
    <definedName name="_xlnm.Print_Titles" localSheetId="3">电梯轿厢装修工程!$1:$3</definedName>
    <definedName name="_____ngk1109" localSheetId="3" hidden="1">{#N/A,#N/A,FALSE,"估價單  (3)"}</definedName>
    <definedName name="___ngk1109" localSheetId="3" hidden="1">{#N/A,#N/A,FALSE,"估價單  (3)"}</definedName>
    <definedName name="dw" localSheetId="4">#REF!</definedName>
    <definedName name="_xlnm.Print_Area" localSheetId="4">地下室装修工程!$A$1:$L$302</definedName>
    <definedName name="_xlnm.Print_Titles" localSheetId="4">地下室装修工程!$1:$3</definedName>
    <definedName name="_____ngk1109" localSheetId="4" hidden="1">{#N/A,#N/A,FALSE,"估價單  (3)"}</definedName>
    <definedName name="___ngk1109" localSheetId="4" hidden="1">{#N/A,#N/A,FALSE,"估價單  (3)"}</definedName>
    <definedName name="_xlnm._FilterDatabase" localSheetId="5" hidden="1">会所安装工程量清单!$A$4:$L$223</definedName>
    <definedName name="A">EVALUATE(SUBSTITUTE(SUBSTITUTE(#REF!,"[","*ISTEXT(""["),"]","]"")"))</definedName>
    <definedName name="A" localSheetId="5">EVALUATE(SUBSTITUTE(SUBSTITUTE(#REF!,"[","*ISTEXT(""["),"]","]"")"))</definedName>
    <definedName name="_xlnm.Print_Area" localSheetId="5">会所安装工程量清单!$A$1:$L$223</definedName>
    <definedName name="_xlnm.Print_Titles" localSheetId="5">会所安装工程量清单!$1:$3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14" name="ID_8A814E5DB4FF4E14942A30434ADDD1AE"/>
        <xdr:cNvPicPr>
          <a:picLocks noChangeAspect="1"/>
        </xdr:cNvPicPr>
      </xdr:nvPicPr>
      <xdr:blipFill>
        <a:blip r:embed="rId1"/>
        <a:stretch>
          <a:fillRect/>
        </a:stretch>
      </xdr:blipFill>
      <xdr:spPr>
        <a:xfrm>
          <a:off x="15395575" y="33493075"/>
          <a:ext cx="7258050" cy="5486400"/>
        </a:xfrm>
        <a:prstGeom prst="rect">
          <a:avLst/>
        </a:prstGeom>
        <a:noFill/>
        <a:ln w="9525">
          <a:noFill/>
        </a:ln>
      </xdr:spPr>
    </xdr:pic>
  </etc:cellImage>
  <etc:cellImage>
    <xdr:pic>
      <xdr:nvPicPr>
        <xdr:cNvPr id="15" name="ID_3E5BE532377F40AEBC68B3C07112AFDB"/>
        <xdr:cNvPicPr>
          <a:picLocks noChangeAspect="1"/>
        </xdr:cNvPicPr>
      </xdr:nvPicPr>
      <xdr:blipFill>
        <a:blip r:embed="rId2"/>
        <a:stretch>
          <a:fillRect/>
        </a:stretch>
      </xdr:blipFill>
      <xdr:spPr>
        <a:xfrm>
          <a:off x="15448280" y="18646775"/>
          <a:ext cx="6791325" cy="5314950"/>
        </a:xfrm>
        <a:prstGeom prst="rect">
          <a:avLst/>
        </a:prstGeom>
        <a:noFill/>
        <a:ln w="9525">
          <a:noFill/>
        </a:ln>
      </xdr:spPr>
    </xdr:pic>
  </etc:cellImage>
  <etc:cellImage>
    <xdr:pic>
      <xdr:nvPicPr>
        <xdr:cNvPr id="28" name="ID_794EEF17F06A4AF783B086FE9CB1E3D4"/>
        <xdr:cNvPicPr>
          <a:picLocks noChangeAspect="1"/>
        </xdr:cNvPicPr>
      </xdr:nvPicPr>
      <xdr:blipFill>
        <a:blip r:embed="rId3"/>
        <a:stretch>
          <a:fillRect/>
        </a:stretch>
      </xdr:blipFill>
      <xdr:spPr>
        <a:xfrm>
          <a:off x="15395575" y="1543050"/>
          <a:ext cx="5800725" cy="5324475"/>
        </a:xfrm>
        <a:prstGeom prst="rect">
          <a:avLst/>
        </a:prstGeom>
        <a:noFill/>
        <a:ln w="9525">
          <a:noFill/>
        </a:ln>
      </xdr:spPr>
    </xdr:pic>
  </etc:cellImage>
  <etc:cellImage>
    <xdr:pic>
      <xdr:nvPicPr>
        <xdr:cNvPr id="38" name="ID_B536854564CA4B8197B26E4B6442191E"/>
        <xdr:cNvPicPr>
          <a:picLocks noChangeAspect="1"/>
        </xdr:cNvPicPr>
      </xdr:nvPicPr>
      <xdr:blipFill>
        <a:blip r:embed="rId4"/>
        <a:stretch>
          <a:fillRect/>
        </a:stretch>
      </xdr:blipFill>
      <xdr:spPr>
        <a:xfrm>
          <a:off x="15119350" y="40017700"/>
          <a:ext cx="6238875" cy="4933950"/>
        </a:xfrm>
        <a:prstGeom prst="rect">
          <a:avLst/>
        </a:prstGeom>
        <a:noFill/>
        <a:ln w="9525">
          <a:noFill/>
        </a:ln>
      </xdr:spPr>
    </xdr:pic>
  </etc:cellImage>
  <etc:cellImage>
    <xdr:pic>
      <xdr:nvPicPr>
        <xdr:cNvPr id="43" name="ID_EAC5E79C165D415B932AFE73B780235F"/>
        <xdr:cNvPicPr>
          <a:picLocks noChangeAspect="1"/>
        </xdr:cNvPicPr>
      </xdr:nvPicPr>
      <xdr:blipFill>
        <a:blip r:embed="rId5"/>
        <a:stretch>
          <a:fillRect/>
        </a:stretch>
      </xdr:blipFill>
      <xdr:spPr>
        <a:xfrm>
          <a:off x="15128875" y="68030725"/>
          <a:ext cx="5019675" cy="2905125"/>
        </a:xfrm>
        <a:prstGeom prst="rect">
          <a:avLst/>
        </a:prstGeom>
        <a:noFill/>
        <a:ln w="9525">
          <a:noFill/>
        </a:ln>
      </xdr:spPr>
    </xdr:pic>
  </etc:cellImage>
  <etc:cellImage>
    <xdr:pic>
      <xdr:nvPicPr>
        <xdr:cNvPr id="44" name="ID_313A828CF1F54DA1B047DEC23CEA0284"/>
        <xdr:cNvPicPr>
          <a:picLocks noChangeAspect="1"/>
        </xdr:cNvPicPr>
      </xdr:nvPicPr>
      <xdr:blipFill>
        <a:blip r:embed="rId6"/>
        <a:stretch>
          <a:fillRect/>
        </a:stretch>
      </xdr:blipFill>
      <xdr:spPr>
        <a:xfrm>
          <a:off x="15205075" y="95357950"/>
          <a:ext cx="5276850" cy="7324725"/>
        </a:xfrm>
        <a:prstGeom prst="rect">
          <a:avLst/>
        </a:prstGeom>
        <a:noFill/>
        <a:ln w="9525">
          <a:noFill/>
        </a:ln>
      </xdr:spPr>
    </xdr:pic>
  </etc:cellImage>
  <etc:cellImage>
    <xdr:pic>
      <xdr:nvPicPr>
        <xdr:cNvPr id="45" name="ID_2C8641C191E24476BECB7EF61417BE62"/>
        <xdr:cNvPicPr>
          <a:picLocks noChangeAspect="1"/>
        </xdr:cNvPicPr>
      </xdr:nvPicPr>
      <xdr:blipFill>
        <a:blip r:embed="rId7"/>
        <a:stretch>
          <a:fillRect/>
        </a:stretch>
      </xdr:blipFill>
      <xdr:spPr>
        <a:xfrm>
          <a:off x="15176500" y="109778800"/>
          <a:ext cx="5162550" cy="5305425"/>
        </a:xfrm>
        <a:prstGeom prst="rect">
          <a:avLst/>
        </a:prstGeom>
        <a:noFill/>
        <a:ln w="9525">
          <a:noFill/>
        </a:ln>
      </xdr:spPr>
    </xdr:pic>
  </etc:cellImage>
  <etc:cellImage>
    <xdr:pic>
      <xdr:nvPicPr>
        <xdr:cNvPr id="46" name="ID_846B6C16BCAD432A8A323076B191DC34"/>
        <xdr:cNvPicPr>
          <a:picLocks noChangeAspect="1"/>
        </xdr:cNvPicPr>
      </xdr:nvPicPr>
      <xdr:blipFill>
        <a:blip r:embed="rId8"/>
        <a:stretch>
          <a:fillRect/>
        </a:stretch>
      </xdr:blipFill>
      <xdr:spPr>
        <a:xfrm>
          <a:off x="15205075" y="83851750"/>
          <a:ext cx="7858125" cy="3343275"/>
        </a:xfrm>
        <a:prstGeom prst="rect">
          <a:avLst/>
        </a:prstGeom>
        <a:noFill/>
        <a:ln w="9525">
          <a:noFill/>
        </a:ln>
      </xdr:spPr>
    </xdr:pic>
  </etc:cellImage>
  <etc:cellImage>
    <xdr:pic>
      <xdr:nvPicPr>
        <xdr:cNvPr id="47" name="ID_27697568629A418B8C94BA218061C315"/>
        <xdr:cNvPicPr>
          <a:picLocks noChangeAspect="1"/>
        </xdr:cNvPicPr>
      </xdr:nvPicPr>
      <xdr:blipFill>
        <a:blip r:embed="rId9"/>
        <a:stretch>
          <a:fillRect/>
        </a:stretch>
      </xdr:blipFill>
      <xdr:spPr>
        <a:xfrm>
          <a:off x="15195550" y="123704350"/>
          <a:ext cx="6400800" cy="5219700"/>
        </a:xfrm>
        <a:prstGeom prst="rect">
          <a:avLst/>
        </a:prstGeom>
        <a:noFill/>
        <a:ln w="9525">
          <a:noFill/>
        </a:ln>
      </xdr:spPr>
    </xdr:pic>
  </etc:cellImage>
  <etc:cellImage>
    <xdr:pic>
      <xdr:nvPicPr>
        <xdr:cNvPr id="48" name="ID_299CC4902CCF459F91D60AB2E50B5CB9"/>
        <xdr:cNvPicPr>
          <a:picLocks noChangeAspect="1"/>
        </xdr:cNvPicPr>
      </xdr:nvPicPr>
      <xdr:blipFill>
        <a:blip r:embed="rId10"/>
        <a:stretch>
          <a:fillRect/>
        </a:stretch>
      </xdr:blipFill>
      <xdr:spPr>
        <a:xfrm>
          <a:off x="15138400" y="136648825"/>
          <a:ext cx="8172450" cy="3962400"/>
        </a:xfrm>
        <a:prstGeom prst="rect">
          <a:avLst/>
        </a:prstGeom>
        <a:noFill/>
        <a:ln w="9525">
          <a:noFill/>
        </a:ln>
      </xdr:spPr>
    </xdr:pic>
  </etc:cellImage>
  <etc:cellImage>
    <xdr:pic>
      <xdr:nvPicPr>
        <xdr:cNvPr id="50" name="ID_589CA08F212B437D95718DE5C13512ED"/>
        <xdr:cNvPicPr>
          <a:picLocks noChangeAspect="1"/>
        </xdr:cNvPicPr>
      </xdr:nvPicPr>
      <xdr:blipFill>
        <a:blip r:embed="rId11"/>
        <a:stretch>
          <a:fillRect/>
        </a:stretch>
      </xdr:blipFill>
      <xdr:spPr>
        <a:xfrm>
          <a:off x="15290800" y="148126450"/>
          <a:ext cx="8886825" cy="4048125"/>
        </a:xfrm>
        <a:prstGeom prst="rect">
          <a:avLst/>
        </a:prstGeom>
        <a:noFill/>
        <a:ln w="9525">
          <a:noFill/>
        </a:ln>
      </xdr:spPr>
    </xdr:pic>
  </etc:cellImage>
  <etc:cellImage>
    <xdr:pic>
      <xdr:nvPicPr>
        <xdr:cNvPr id="51" name="ID_0E7C8EE907394257A9628C85485B294C"/>
        <xdr:cNvPicPr>
          <a:picLocks noChangeAspect="1"/>
        </xdr:cNvPicPr>
      </xdr:nvPicPr>
      <xdr:blipFill>
        <a:blip r:embed="rId12"/>
        <a:stretch>
          <a:fillRect/>
        </a:stretch>
      </xdr:blipFill>
      <xdr:spPr>
        <a:xfrm>
          <a:off x="15214600" y="160385125"/>
          <a:ext cx="8258175" cy="5010150"/>
        </a:xfrm>
        <a:prstGeom prst="rect">
          <a:avLst/>
        </a:prstGeom>
        <a:noFill/>
        <a:ln w="9525">
          <a:noFill/>
        </a:ln>
      </xdr:spPr>
    </xdr:pic>
  </etc:cellImage>
  <etc:cellImage>
    <xdr:pic>
      <xdr:nvPicPr>
        <xdr:cNvPr id="52" name="ID_3637BC63980E47D5800ED572B8F2992E"/>
        <xdr:cNvPicPr>
          <a:picLocks noChangeAspect="1"/>
        </xdr:cNvPicPr>
      </xdr:nvPicPr>
      <xdr:blipFill>
        <a:blip r:embed="rId13"/>
        <a:stretch>
          <a:fillRect/>
        </a:stretch>
      </xdr:blipFill>
      <xdr:spPr>
        <a:xfrm>
          <a:off x="15300325" y="168195625"/>
          <a:ext cx="6372225" cy="6448425"/>
        </a:xfrm>
        <a:prstGeom prst="rect">
          <a:avLst/>
        </a:prstGeom>
        <a:noFill/>
        <a:ln w="9525">
          <a:noFill/>
        </a:ln>
      </xdr:spPr>
    </xdr:pic>
  </etc:cellImage>
  <etc:cellImage>
    <xdr:pic>
      <xdr:nvPicPr>
        <xdr:cNvPr id="53" name="ID_15A5E089ABBE4E6A86F1BBE9869FFE1F"/>
        <xdr:cNvPicPr>
          <a:picLocks noChangeAspect="1"/>
        </xdr:cNvPicPr>
      </xdr:nvPicPr>
      <xdr:blipFill>
        <a:blip r:embed="rId14"/>
        <a:stretch>
          <a:fillRect/>
        </a:stretch>
      </xdr:blipFill>
      <xdr:spPr>
        <a:xfrm>
          <a:off x="15252700" y="184350025"/>
          <a:ext cx="7305675" cy="4791075"/>
        </a:xfrm>
        <a:prstGeom prst="rect">
          <a:avLst/>
        </a:prstGeom>
        <a:noFill/>
        <a:ln w="9525">
          <a:noFill/>
        </a:ln>
      </xdr:spPr>
    </xdr:pic>
  </etc:cellImage>
  <etc:cellImage>
    <xdr:pic>
      <xdr:nvPicPr>
        <xdr:cNvPr id="54" name="ID_C8C1FEB9063945808E06625CCF17E950"/>
        <xdr:cNvPicPr>
          <a:picLocks noChangeAspect="1"/>
        </xdr:cNvPicPr>
      </xdr:nvPicPr>
      <xdr:blipFill>
        <a:blip r:embed="rId15"/>
        <a:stretch>
          <a:fillRect/>
        </a:stretch>
      </xdr:blipFill>
      <xdr:spPr>
        <a:xfrm>
          <a:off x="15233650" y="197265925"/>
          <a:ext cx="7829550" cy="4895850"/>
        </a:xfrm>
        <a:prstGeom prst="rect">
          <a:avLst/>
        </a:prstGeom>
        <a:noFill/>
        <a:ln w="9525">
          <a:noFill/>
        </a:ln>
      </xdr:spPr>
    </xdr:pic>
  </etc:cellImage>
  <etc:cellImage>
    <xdr:pic>
      <xdr:nvPicPr>
        <xdr:cNvPr id="55" name="ID_D24ED736F8CA423690822537BB5D3C3E"/>
        <xdr:cNvPicPr>
          <a:picLocks noChangeAspect="1"/>
        </xdr:cNvPicPr>
      </xdr:nvPicPr>
      <xdr:blipFill>
        <a:blip r:embed="rId16"/>
        <a:stretch>
          <a:fillRect/>
        </a:stretch>
      </xdr:blipFill>
      <xdr:spPr>
        <a:xfrm>
          <a:off x="15290800" y="8782050"/>
          <a:ext cx="7658100" cy="5019675"/>
        </a:xfrm>
        <a:prstGeom prst="rect">
          <a:avLst/>
        </a:prstGeom>
        <a:noFill/>
        <a:ln w="9525">
          <a:noFill/>
        </a:ln>
      </xdr:spPr>
    </xdr:pic>
  </etc:cellImage>
  <etc:cellImage>
    <xdr:pic>
      <xdr:nvPicPr>
        <xdr:cNvPr id="56" name="ID_26772D558EF748CABF8F4CA7FDFBC7AE"/>
        <xdr:cNvPicPr>
          <a:picLocks noChangeAspect="1"/>
        </xdr:cNvPicPr>
      </xdr:nvPicPr>
      <xdr:blipFill>
        <a:blip r:embed="rId17"/>
        <a:stretch>
          <a:fillRect/>
        </a:stretch>
      </xdr:blipFill>
      <xdr:spPr>
        <a:xfrm>
          <a:off x="15309850" y="40805100"/>
          <a:ext cx="8829675" cy="6267450"/>
        </a:xfrm>
        <a:prstGeom prst="rect">
          <a:avLst/>
        </a:prstGeom>
        <a:noFill/>
        <a:ln w="9525">
          <a:noFill/>
        </a:ln>
      </xdr:spPr>
    </xdr:pic>
  </etc:cellImage>
  <etc:cellImage>
    <xdr:pic>
      <xdr:nvPicPr>
        <xdr:cNvPr id="57" name="ID_F6DAD87C6F484C429ADAAC7CB59B11E6"/>
        <xdr:cNvPicPr>
          <a:picLocks noChangeAspect="1"/>
        </xdr:cNvPicPr>
      </xdr:nvPicPr>
      <xdr:blipFill>
        <a:blip r:embed="rId18"/>
        <a:stretch>
          <a:fillRect/>
        </a:stretch>
      </xdr:blipFill>
      <xdr:spPr>
        <a:xfrm>
          <a:off x="15243175" y="40566975"/>
          <a:ext cx="6772275" cy="3695700"/>
        </a:xfrm>
        <a:prstGeom prst="rect">
          <a:avLst/>
        </a:prstGeom>
        <a:noFill/>
        <a:ln w="9525">
          <a:noFill/>
        </a:ln>
      </xdr:spPr>
    </xdr:pic>
  </etc:cellImage>
  <etc:cellImage>
    <xdr:pic>
      <xdr:nvPicPr>
        <xdr:cNvPr id="58" name="ID_E5CD2B656A7B49C499EC220A07E6DA18"/>
        <xdr:cNvPicPr>
          <a:picLocks noChangeAspect="1"/>
        </xdr:cNvPicPr>
      </xdr:nvPicPr>
      <xdr:blipFill>
        <a:blip r:embed="rId19"/>
        <a:stretch>
          <a:fillRect/>
        </a:stretch>
      </xdr:blipFill>
      <xdr:spPr>
        <a:xfrm>
          <a:off x="15262225" y="32756475"/>
          <a:ext cx="7867650" cy="6391275"/>
        </a:xfrm>
        <a:prstGeom prst="rect">
          <a:avLst/>
        </a:prstGeom>
        <a:noFill/>
        <a:ln w="9525">
          <a:noFill/>
        </a:ln>
      </xdr:spPr>
    </xdr:pic>
  </etc:cellImage>
  <etc:cellImage>
    <xdr:pic>
      <xdr:nvPicPr>
        <xdr:cNvPr id="59" name="ID_BF1EDA8852A541B6AC34D90F51519C63"/>
        <xdr:cNvPicPr>
          <a:picLocks noChangeAspect="1"/>
        </xdr:cNvPicPr>
      </xdr:nvPicPr>
      <xdr:blipFill>
        <a:blip r:embed="rId20"/>
        <a:stretch>
          <a:fillRect/>
        </a:stretch>
      </xdr:blipFill>
      <xdr:spPr>
        <a:xfrm>
          <a:off x="15219680" y="35623500"/>
          <a:ext cx="8353425" cy="6096000"/>
        </a:xfrm>
        <a:prstGeom prst="rect">
          <a:avLst/>
        </a:prstGeom>
        <a:noFill/>
        <a:ln w="9525">
          <a:noFill/>
        </a:ln>
      </xdr:spPr>
    </xdr:pic>
  </etc:cellImage>
  <etc:cellImage>
    <xdr:pic>
      <xdr:nvPicPr>
        <xdr:cNvPr id="61" name="ID_EC83A7CF2DCE420D98B785E34F0891B0"/>
        <xdr:cNvPicPr>
          <a:picLocks noChangeAspect="1"/>
        </xdr:cNvPicPr>
      </xdr:nvPicPr>
      <xdr:blipFill>
        <a:blip r:embed="rId21"/>
        <a:stretch>
          <a:fillRect/>
        </a:stretch>
      </xdr:blipFill>
      <xdr:spPr>
        <a:xfrm>
          <a:off x="15347950" y="33480375"/>
          <a:ext cx="7858125" cy="5324475"/>
        </a:xfrm>
        <a:prstGeom prst="rect">
          <a:avLst/>
        </a:prstGeom>
        <a:noFill/>
        <a:ln w="9525">
          <a:noFill/>
        </a:ln>
      </xdr:spPr>
    </xdr:pic>
  </etc:cellImage>
  <etc:cellImage>
    <xdr:pic>
      <xdr:nvPicPr>
        <xdr:cNvPr id="62" name="ID_7F15BB9A08234B43B10CC616E0663C90"/>
        <xdr:cNvPicPr>
          <a:picLocks noChangeAspect="1"/>
        </xdr:cNvPicPr>
      </xdr:nvPicPr>
      <xdr:blipFill>
        <a:blip r:embed="rId22"/>
        <a:stretch>
          <a:fillRect/>
        </a:stretch>
      </xdr:blipFill>
      <xdr:spPr>
        <a:xfrm>
          <a:off x="15281275" y="32032575"/>
          <a:ext cx="5876925" cy="5876925"/>
        </a:xfrm>
        <a:prstGeom prst="rect">
          <a:avLst/>
        </a:prstGeom>
        <a:noFill/>
        <a:ln w="9525">
          <a:noFill/>
        </a:ln>
      </xdr:spPr>
    </xdr:pic>
  </etc:cellImage>
  <etc:cellImage>
    <xdr:pic>
      <xdr:nvPicPr>
        <xdr:cNvPr id="63" name="ID_D13A3B112CB340D4857ADF47F3345CFD"/>
        <xdr:cNvPicPr>
          <a:picLocks noChangeAspect="1"/>
        </xdr:cNvPicPr>
      </xdr:nvPicPr>
      <xdr:blipFill>
        <a:blip r:embed="rId23"/>
        <a:stretch>
          <a:fillRect/>
        </a:stretch>
      </xdr:blipFill>
      <xdr:spPr>
        <a:xfrm>
          <a:off x="15338425" y="46215300"/>
          <a:ext cx="5600700" cy="4010025"/>
        </a:xfrm>
        <a:prstGeom prst="rect">
          <a:avLst/>
        </a:prstGeom>
        <a:noFill/>
        <a:ln w="9525">
          <a:noFill/>
        </a:ln>
      </xdr:spPr>
    </xdr:pic>
  </etc:cellImage>
  <etc:cellImage>
    <xdr:pic>
      <xdr:nvPicPr>
        <xdr:cNvPr id="64" name="ID_248119BFBC6C45409BF72E1F8700A056"/>
        <xdr:cNvPicPr>
          <a:picLocks noChangeAspect="1"/>
        </xdr:cNvPicPr>
      </xdr:nvPicPr>
      <xdr:blipFill>
        <a:blip r:embed="rId24"/>
        <a:stretch>
          <a:fillRect/>
        </a:stretch>
      </xdr:blipFill>
      <xdr:spPr>
        <a:xfrm>
          <a:off x="15347950" y="56483250"/>
          <a:ext cx="7486650" cy="4476750"/>
        </a:xfrm>
        <a:prstGeom prst="rect">
          <a:avLst/>
        </a:prstGeom>
        <a:noFill/>
        <a:ln w="9525">
          <a:noFill/>
        </a:ln>
      </xdr:spPr>
    </xdr:pic>
  </etc:cellImage>
  <etc:cellImage>
    <xdr:pic>
      <xdr:nvPicPr>
        <xdr:cNvPr id="65" name="ID_6F7EB677A5094C20B2B71D2F1EE10752"/>
        <xdr:cNvPicPr>
          <a:picLocks noChangeAspect="1"/>
        </xdr:cNvPicPr>
      </xdr:nvPicPr>
      <xdr:blipFill>
        <a:blip r:embed="rId25"/>
        <a:stretch>
          <a:fillRect/>
        </a:stretch>
      </xdr:blipFill>
      <xdr:spPr>
        <a:xfrm>
          <a:off x="15367000" y="67979925"/>
          <a:ext cx="4029075" cy="3028950"/>
        </a:xfrm>
        <a:prstGeom prst="rect">
          <a:avLst/>
        </a:prstGeom>
        <a:noFill/>
        <a:ln w="9525">
          <a:noFill/>
        </a:ln>
      </xdr:spPr>
    </xdr:pic>
  </etc:cellImage>
  <etc:cellImage>
    <xdr:pic>
      <xdr:nvPicPr>
        <xdr:cNvPr id="66" name="ID_E3C0506697614A36BC3BDD42540CE5D7"/>
        <xdr:cNvPicPr>
          <a:picLocks noChangeAspect="1"/>
        </xdr:cNvPicPr>
      </xdr:nvPicPr>
      <xdr:blipFill>
        <a:blip r:embed="rId26"/>
        <a:stretch>
          <a:fillRect/>
        </a:stretch>
      </xdr:blipFill>
      <xdr:spPr>
        <a:xfrm>
          <a:off x="15347950" y="77000100"/>
          <a:ext cx="8915400" cy="3905250"/>
        </a:xfrm>
        <a:prstGeom prst="rect">
          <a:avLst/>
        </a:prstGeom>
        <a:noFill/>
        <a:ln w="9525">
          <a:noFill/>
        </a:ln>
      </xdr:spPr>
    </xdr:pic>
  </etc:cellImage>
  <etc:cellImage>
    <xdr:pic>
      <xdr:nvPicPr>
        <xdr:cNvPr id="67" name="ID_08529AA2B4754D7788EF3058DD12C0B7"/>
        <xdr:cNvPicPr>
          <a:picLocks noChangeAspect="1"/>
        </xdr:cNvPicPr>
      </xdr:nvPicPr>
      <xdr:blipFill>
        <a:blip r:embed="rId27"/>
        <a:stretch>
          <a:fillRect/>
        </a:stretch>
      </xdr:blipFill>
      <xdr:spPr>
        <a:xfrm>
          <a:off x="15166975" y="89049225"/>
          <a:ext cx="5876925" cy="3552825"/>
        </a:xfrm>
        <a:prstGeom prst="rect">
          <a:avLst/>
        </a:prstGeom>
        <a:noFill/>
        <a:ln w="9525">
          <a:noFill/>
        </a:ln>
      </xdr:spPr>
    </xdr:pic>
  </etc:cellImage>
  <etc:cellImage>
    <xdr:pic>
      <xdr:nvPicPr>
        <xdr:cNvPr id="68" name="ID_52E6D4475B5A423CA29DFA7417D3B958"/>
        <xdr:cNvPicPr>
          <a:picLocks noChangeAspect="1"/>
        </xdr:cNvPicPr>
      </xdr:nvPicPr>
      <xdr:blipFill>
        <a:blip r:embed="rId28"/>
        <a:stretch>
          <a:fillRect/>
        </a:stretch>
      </xdr:blipFill>
      <xdr:spPr>
        <a:xfrm>
          <a:off x="15138400" y="47863125"/>
          <a:ext cx="8058150" cy="4352925"/>
        </a:xfrm>
        <a:prstGeom prst="rect">
          <a:avLst/>
        </a:prstGeom>
        <a:noFill/>
        <a:ln w="9525">
          <a:noFill/>
        </a:ln>
      </xdr:spPr>
    </xdr:pic>
  </etc:cellImage>
  <etc:cellImage>
    <xdr:pic>
      <xdr:nvPicPr>
        <xdr:cNvPr id="70" name="ID_079CB18207A847FE99C003FD3B44EEAD"/>
        <xdr:cNvPicPr>
          <a:picLocks noChangeAspect="1"/>
        </xdr:cNvPicPr>
      </xdr:nvPicPr>
      <xdr:blipFill>
        <a:blip r:embed="rId29"/>
        <a:stretch>
          <a:fillRect/>
        </a:stretch>
      </xdr:blipFill>
      <xdr:spPr>
        <a:xfrm>
          <a:off x="15128875" y="56597550"/>
          <a:ext cx="5657850" cy="4219575"/>
        </a:xfrm>
        <a:prstGeom prst="rect">
          <a:avLst/>
        </a:prstGeom>
        <a:noFill/>
        <a:ln w="9525">
          <a:noFill/>
        </a:ln>
      </xdr:spPr>
    </xdr:pic>
  </etc:cellImage>
  <etc:cellImage>
    <xdr:pic>
      <xdr:nvPicPr>
        <xdr:cNvPr id="71" name="ID_3EDF700A401B40FA9BCCF945FE0F78E7"/>
        <xdr:cNvPicPr>
          <a:picLocks noChangeAspect="1"/>
        </xdr:cNvPicPr>
      </xdr:nvPicPr>
      <xdr:blipFill>
        <a:blip r:embed="rId30"/>
        <a:stretch>
          <a:fillRect/>
        </a:stretch>
      </xdr:blipFill>
      <xdr:spPr>
        <a:xfrm>
          <a:off x="15338425" y="67856100"/>
          <a:ext cx="5886450" cy="4248150"/>
        </a:xfrm>
        <a:prstGeom prst="rect">
          <a:avLst/>
        </a:prstGeom>
        <a:noFill/>
        <a:ln w="9525">
          <a:noFill/>
        </a:ln>
      </xdr:spPr>
    </xdr:pic>
  </etc:cellImage>
  <etc:cellImage>
    <xdr:pic>
      <xdr:nvPicPr>
        <xdr:cNvPr id="72" name="ID_3A7A0C2DE56844B4974F8A1A9668BB74"/>
        <xdr:cNvPicPr>
          <a:picLocks noChangeAspect="1"/>
        </xdr:cNvPicPr>
      </xdr:nvPicPr>
      <xdr:blipFill>
        <a:blip r:embed="rId31"/>
        <a:stretch>
          <a:fillRect/>
        </a:stretch>
      </xdr:blipFill>
      <xdr:spPr>
        <a:xfrm>
          <a:off x="15243175" y="78800325"/>
          <a:ext cx="8658225" cy="6353175"/>
        </a:xfrm>
        <a:prstGeom prst="rect">
          <a:avLst/>
        </a:prstGeom>
        <a:noFill/>
        <a:ln w="9525">
          <a:noFill/>
        </a:ln>
      </xdr:spPr>
    </xdr:pic>
  </etc:cellImage>
  <etc:cellImage>
    <xdr:pic>
      <xdr:nvPicPr>
        <xdr:cNvPr id="73" name="ID_04C7688EC066428C80D92424805BDF58"/>
        <xdr:cNvPicPr>
          <a:picLocks noChangeAspect="1"/>
        </xdr:cNvPicPr>
      </xdr:nvPicPr>
      <xdr:blipFill>
        <a:blip r:embed="rId32"/>
        <a:stretch>
          <a:fillRect/>
        </a:stretch>
      </xdr:blipFill>
      <xdr:spPr>
        <a:xfrm>
          <a:off x="15319375" y="88582500"/>
          <a:ext cx="6381750" cy="4191000"/>
        </a:xfrm>
        <a:prstGeom prst="rect">
          <a:avLst/>
        </a:prstGeom>
        <a:noFill/>
        <a:ln w="9525">
          <a:noFill/>
        </a:ln>
      </xdr:spPr>
    </xdr:pic>
  </etc:cellImage>
  <etc:cellImage>
    <xdr:pic>
      <xdr:nvPicPr>
        <xdr:cNvPr id="74" name="ID_F477314AC07043CF9B2F8F752891D249"/>
        <xdr:cNvPicPr>
          <a:picLocks noChangeAspect="1"/>
        </xdr:cNvPicPr>
      </xdr:nvPicPr>
      <xdr:blipFill>
        <a:blip r:embed="rId33"/>
        <a:stretch>
          <a:fillRect/>
        </a:stretch>
      </xdr:blipFill>
      <xdr:spPr>
        <a:xfrm>
          <a:off x="15405100" y="98612325"/>
          <a:ext cx="4781550" cy="6524625"/>
        </a:xfrm>
        <a:prstGeom prst="rect">
          <a:avLst/>
        </a:prstGeom>
        <a:noFill/>
        <a:ln w="9525">
          <a:noFill/>
        </a:ln>
      </xdr:spPr>
    </xdr:pic>
  </etc:cellImage>
  <etc:cellImage>
    <xdr:pic>
      <xdr:nvPicPr>
        <xdr:cNvPr id="75" name="ID_DA8056B476E24060850BD63660BA0158"/>
        <xdr:cNvPicPr>
          <a:picLocks noChangeAspect="1"/>
        </xdr:cNvPicPr>
      </xdr:nvPicPr>
      <xdr:blipFill>
        <a:blip r:embed="rId34"/>
        <a:stretch>
          <a:fillRect/>
        </a:stretch>
      </xdr:blipFill>
      <xdr:spPr>
        <a:xfrm>
          <a:off x="15147925" y="109756575"/>
          <a:ext cx="5695950" cy="5353050"/>
        </a:xfrm>
        <a:prstGeom prst="rect">
          <a:avLst/>
        </a:prstGeom>
        <a:noFill/>
        <a:ln w="9525">
          <a:noFill/>
        </a:ln>
      </xdr:spPr>
    </xdr:pic>
  </etc:cellImage>
  <etc:cellImage>
    <xdr:pic>
      <xdr:nvPicPr>
        <xdr:cNvPr id="76" name="ID_E365E80EDA8E47118816E377B5229A08"/>
        <xdr:cNvPicPr>
          <a:picLocks noChangeAspect="1"/>
        </xdr:cNvPicPr>
      </xdr:nvPicPr>
      <xdr:blipFill>
        <a:blip r:embed="rId35"/>
        <a:stretch>
          <a:fillRect/>
        </a:stretch>
      </xdr:blipFill>
      <xdr:spPr>
        <a:xfrm>
          <a:off x="15262225" y="117843300"/>
          <a:ext cx="7296150" cy="4743450"/>
        </a:xfrm>
        <a:prstGeom prst="rect">
          <a:avLst/>
        </a:prstGeom>
        <a:noFill/>
        <a:ln w="9525">
          <a:noFill/>
        </a:ln>
      </xdr:spPr>
    </xdr:pic>
  </etc:cellImage>
  <etc:cellImage>
    <xdr:pic>
      <xdr:nvPicPr>
        <xdr:cNvPr id="77" name="ID_6C951BC485714CB8855255795B662D86"/>
        <xdr:cNvPicPr>
          <a:picLocks noChangeAspect="1"/>
        </xdr:cNvPicPr>
      </xdr:nvPicPr>
      <xdr:blipFill>
        <a:blip r:embed="rId36"/>
        <a:stretch>
          <a:fillRect/>
        </a:stretch>
      </xdr:blipFill>
      <xdr:spPr>
        <a:xfrm>
          <a:off x="15443200" y="74228325"/>
          <a:ext cx="8715375" cy="7258050"/>
        </a:xfrm>
        <a:prstGeom prst="rect">
          <a:avLst/>
        </a:prstGeom>
        <a:noFill/>
        <a:ln w="9525">
          <a:noFill/>
        </a:ln>
      </xdr:spPr>
    </xdr:pic>
  </etc:cellImage>
  <etc:cellImage>
    <xdr:pic>
      <xdr:nvPicPr>
        <xdr:cNvPr id="78" name="ID_2E98F7372404413096138FD16E0C8F7D"/>
        <xdr:cNvPicPr>
          <a:picLocks noChangeAspect="1"/>
        </xdr:cNvPicPr>
      </xdr:nvPicPr>
      <xdr:blipFill>
        <a:blip r:embed="rId37"/>
        <a:stretch>
          <a:fillRect/>
        </a:stretch>
      </xdr:blipFill>
      <xdr:spPr>
        <a:xfrm>
          <a:off x="15138400" y="63179325"/>
          <a:ext cx="6124575" cy="6115050"/>
        </a:xfrm>
        <a:prstGeom prst="rect">
          <a:avLst/>
        </a:prstGeom>
        <a:noFill/>
        <a:ln w="9525">
          <a:noFill/>
        </a:ln>
      </xdr:spPr>
    </xdr:pic>
  </etc:cellImage>
  <etc:cellImage>
    <xdr:pic>
      <xdr:nvPicPr>
        <xdr:cNvPr id="79" name="ID_DBFEAA07FA77407EA27001577B1036D1"/>
        <xdr:cNvPicPr>
          <a:picLocks noChangeAspect="1"/>
        </xdr:cNvPicPr>
      </xdr:nvPicPr>
      <xdr:blipFill>
        <a:blip r:embed="rId38"/>
        <a:stretch>
          <a:fillRect/>
        </a:stretch>
      </xdr:blipFill>
      <xdr:spPr>
        <a:xfrm>
          <a:off x="15414625" y="85267800"/>
          <a:ext cx="7315200" cy="5648325"/>
        </a:xfrm>
        <a:prstGeom prst="rect">
          <a:avLst/>
        </a:prstGeom>
        <a:noFill/>
        <a:ln w="9525">
          <a:noFill/>
        </a:ln>
      </xdr:spPr>
    </xdr:pic>
  </etc:cellImage>
  <etc:cellImage>
    <xdr:pic>
      <xdr:nvPicPr>
        <xdr:cNvPr id="80" name="ID_24328C5063D944AFA020B812A59D7790"/>
        <xdr:cNvPicPr>
          <a:picLocks noChangeAspect="1"/>
        </xdr:cNvPicPr>
      </xdr:nvPicPr>
      <xdr:blipFill>
        <a:blip r:embed="rId39"/>
        <a:stretch>
          <a:fillRect/>
        </a:stretch>
      </xdr:blipFill>
      <xdr:spPr>
        <a:xfrm>
          <a:off x="15267305" y="96154875"/>
          <a:ext cx="6772275" cy="6457950"/>
        </a:xfrm>
        <a:prstGeom prst="rect">
          <a:avLst/>
        </a:prstGeom>
        <a:noFill/>
        <a:ln w="9525">
          <a:noFill/>
        </a:ln>
      </xdr:spPr>
    </xdr:pic>
  </etc:cellImage>
</etc:cellImages>
</file>

<file path=xl/sharedStrings.xml><?xml version="1.0" encoding="utf-8"?>
<sst xmlns="http://schemas.openxmlformats.org/spreadsheetml/2006/main" count="4301" uniqueCount="911">
  <si>
    <t>编制说明</t>
  </si>
  <si>
    <t>1、工程概况：</t>
  </si>
  <si>
    <t>1）、工程名称：珠海丹田海德公馆会所精装修工程</t>
  </si>
  <si>
    <t xml:space="preserve">2）、建设单位：丹田海德公馆 </t>
  </si>
  <si>
    <t>3）、工程内容：会所、公区装修及机电</t>
  </si>
  <si>
    <t>2、编制依据：</t>
  </si>
  <si>
    <t>1）、按建设单位提供的《珠海海德公馆会所项目施工图20260529》及《珠海丹田海德公馆会所施工手册》、《酒窖深化图》；</t>
  </si>
  <si>
    <t>3、编制范围：</t>
  </si>
  <si>
    <r>
      <rPr>
        <sz val="11"/>
        <color rgb="FF000000"/>
        <rFont val="宋体"/>
        <charset val="134"/>
        <scheme val="major"/>
      </rPr>
      <t>1）、</t>
    </r>
    <r>
      <rPr>
        <sz val="11"/>
        <color rgb="FFFF0000"/>
        <rFont val="宋体"/>
        <charset val="134"/>
        <scheme val="major"/>
      </rPr>
      <t>海德公馆大堂、电梯厅、电梯轿厢、三楼会所、健身房等室内装修工程。 包括：大堂、电梯厅、电梯轿厢、会所、健身房地面、墙面、天花等；</t>
    </r>
  </si>
  <si>
    <t>4、计价说明：</t>
  </si>
  <si>
    <t>1）、综合单价综合考虑人工费、各类材料费（含损耗）、机械费、项目措施费（地下暗室施工费、技术措施费、安全文明施工费、临时设施费）、成品保护费、运输装卸费、材料设备场内二次运输费[在合同总工期内施工过程中因各种因素导致需二次运输作业，搬运距离，自行勘察现场]、材料检测试验费、检测费、调试费、验收费、保险费（不包含甲方已购买保险）、规费、管理费、利润、国家强制性收费、风险责任、施工水电费、克服施工现场苛刻条件及难度费用等除监理费之外的全部费用除非另有约定，结算时该综合单价不调整、税金在汇总单独计算。</t>
  </si>
  <si>
    <t>5、其他说明</t>
  </si>
  <si>
    <t>1、根据图纸，本项目室内门考虑图纸标注门编号在本次范围内，其余门窗均考虑为原建筑门窗；</t>
  </si>
  <si>
    <t>2、根据图纸，本项目所有的暗门不含面层，在墙面清单中计算；</t>
  </si>
  <si>
    <t>3、根据图纸设计说明墙面瓷砖瓷砖大于400*800规格采用C2T等级增强型水泥基胶粘剂,由于项目中不同区域使用的瓷砖规格大小有不一,清单中统一描述为C1T等级增强型水泥基胶粘剂,最终根据项目中各区域使用的瓷砖规格选择相应规格胶粘剂；</t>
  </si>
  <si>
    <t>报价汇总表</t>
  </si>
  <si>
    <t>工程名称：珠海丹田海德公馆会所精装修工程</t>
  </si>
  <si>
    <t>序号</t>
  </si>
  <si>
    <t>名称</t>
  </si>
  <si>
    <t>单层装修面积（m2）</t>
  </si>
  <si>
    <t>层数</t>
  </si>
  <si>
    <t>单层造价（元）</t>
  </si>
  <si>
    <t>总造价（元）</t>
  </si>
  <si>
    <t>单方指标</t>
  </si>
  <si>
    <t>备注</t>
  </si>
  <si>
    <t>首层装修部分（北向）</t>
  </si>
  <si>
    <t>首层装修部分（南向）</t>
  </si>
  <si>
    <t>标准层装修部分(四~三十一层)</t>
  </si>
  <si>
    <t>会所装修部分（三层）</t>
  </si>
  <si>
    <t>健身房装修部分（三层）</t>
  </si>
  <si>
    <t>负一层装修部分</t>
  </si>
  <si>
    <t>负二层装修部分</t>
  </si>
  <si>
    <t>负三层装修部分</t>
  </si>
  <si>
    <t>电梯轿厢</t>
  </si>
  <si>
    <t>1个电梯轿厢+1个无障碍电梯轿厢</t>
  </si>
  <si>
    <t>安装工程</t>
  </si>
  <si>
    <t>措施费</t>
  </si>
  <si>
    <t>小计</t>
  </si>
  <si>
    <t>税金（9%）</t>
  </si>
  <si>
    <t>总计</t>
  </si>
  <si>
    <t>珠海海德公馆会所项目-工程量清单</t>
  </si>
  <si>
    <t>项目名称</t>
  </si>
  <si>
    <t>项目特征</t>
  </si>
  <si>
    <t>单位</t>
  </si>
  <si>
    <t>工程量</t>
  </si>
  <si>
    <t>人工</t>
  </si>
  <si>
    <t>主材</t>
  </si>
  <si>
    <t>辅材及机械费</t>
  </si>
  <si>
    <t>管理及利润取费</t>
  </si>
  <si>
    <t>综合单价
（不含税）</t>
  </si>
  <si>
    <t>合价
（不含税）</t>
  </si>
  <si>
    <t>检查</t>
  </si>
  <si>
    <t>A</t>
  </si>
  <si>
    <t>一</t>
  </si>
  <si>
    <t>一层电梯厅、设备间（DT1）</t>
  </si>
  <si>
    <t>地面工程</t>
  </si>
  <si>
    <t>地面铺贴大理石ST-01</t>
  </si>
  <si>
    <t xml:space="preserve">1.地面20mm大理石ST-01、铺贴、厚度及样式按物料书为准；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</si>
  <si>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m2</t>
  </si>
  <si>
    <t>地面铺贴大理石ST-01.02拼花</t>
  </si>
  <si>
    <t xml:space="preserve">1.地面20mm大理石拼花、参考3F-DF-01样式、ST-01、ST-02按物料书为准；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</si>
  <si>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地面地砖 CT-06</t>
  </si>
  <si>
    <t xml:space="preserve">1.地面花砖CT-06；
2.10mm厚专用粘结剂；
3.80mm厚DS-M15干混砂浆找平；
4.基层清理；
5.含切边、倒角、拼接等处理；
6.包含完成该项内容所有工作及费用并满足设计图纸、规范等要求；
</t>
  </si>
  <si>
    <t>实心铜条5mm宽</t>
  </si>
  <si>
    <t>1.实心铜条5mm宽；
2.包含完成该项内容所有工作及费用并满足设计图纸、规范等要求；</t>
  </si>
  <si>
    <t>m</t>
  </si>
  <si>
    <t>地面石材晶面处理</t>
  </si>
  <si>
    <t xml:space="preserve">1.石材结晶处理(结晶水及石材保养剂,中性清洁剂)；
2.包含完成该项内容所有工作及费用并满足设计图纸、规范等要求；
</t>
  </si>
  <si>
    <t>墙柱面工程</t>
  </si>
  <si>
    <t>墙面湿贴石材ST-05</t>
  </si>
  <si>
    <t>1、墙面湿贴石材ST-05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</si>
  <si>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墙面干挂ST-05石材</t>
  </si>
  <si>
    <t>1、墙面干挂ST-05石材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</si>
  <si>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墙面干挂ST-05石材（波浪造型）</t>
  </si>
  <si>
    <t>1、墙面干挂ST-05石材（波浪造型）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</si>
  <si>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墙面PT-02白色防水无机涂料</t>
  </si>
  <si>
    <t>1、墙面PT-02白色防水无机涂料(底漆1遍，面漆2遍)
2、刮白胶腻子找平二遍，打磨
3、阴、阳角护角收边
4、双层9.5mm纸面石膏板
5、轻钢龙骨基层找平
6、包含完成该项内容所有工作及费用并满足设计图纸、规范等要求</t>
  </si>
  <si>
    <t>不锈钢门套</t>
  </si>
  <si>
    <t>1、1.2mm厚 MT-01古铜不锈钢门套，结构胶固定
2、9厘玻镁板基层
3、工程量以展开面积计算
4、包含完成该项内容所有工作及费用并满足设计图纸、规范等要求</t>
  </si>
  <si>
    <t>电梯不锈钢门套</t>
  </si>
  <si>
    <t>电梯不锈钢门头</t>
  </si>
  <si>
    <t>1、1.2mm厚 MT-01古铜不锈钢门头，结构胶固定
2、12mm阻燃板，轻钢副龙骨@400
3、电梯门顶内置亚克力，内部面层刮白处理
4、工程量以展开面积计算
5、包含完成该项内容所有工作及费用并满足设计图纸、规范等要求</t>
  </si>
  <si>
    <t>MT-01古铜不锈钢饰面（电梯按钮处）</t>
  </si>
  <si>
    <t>1、1.2mm厚 MT-01古铜不锈钢饰面
2、12mm阻燃板基层，轻钢副龙骨@400
3、工程量以展开面积计算
4、包含完成该项内容所有工作及费用并满足设计图纸、规范等要求</t>
  </si>
  <si>
    <t>50mm CT-06瓷砖踢脚</t>
  </si>
  <si>
    <t>1、50mm CT-06瓷砖踢脚,瓷砖填缝剂处理
2、背覆胶处理
3、C1T等级抗滑移水泥基胶粘剂
4、界面剂拉毛处理
5、包含完成该项内容所有工作及费用并满足设计图纸、规范等要求</t>
  </si>
  <si>
    <t>MT-01古铜不锈钢踢脚线（高20mm）</t>
  </si>
  <si>
    <t>1、1.2mm厚 MT-01古铜不锈钢踢脚线（高20mm，展开面为46mm），结构胶固定
2、9厘玻镁板基层
3、包含完成该项内容所有工作及费用并满足设计图纸、规范等要求</t>
  </si>
  <si>
    <t>MT-01古铜不锈钢线条（展开面为54mm）</t>
  </si>
  <si>
    <t>1、1.2mm厚 MT-01古铜不锈钢线条（展开面为54mm），结构胶固定
2、9厘玻镁板基层
3、包含完成该项内容所有工作及费用并满足设计图纸、规范等要求</t>
  </si>
  <si>
    <t>MT-01古铜不锈钢线条（展开面为69mm）</t>
  </si>
  <si>
    <t>1、1.2mm厚 MT-01古铜不锈钢线条（展开面为69mm），结构胶固定
2、9厘玻镁板基层
3、包含完成该项内容所有工作及费用并满足设计图纸、规范等要求</t>
  </si>
  <si>
    <t>MT-01古铜不锈钢线条（展开面为114mm）</t>
  </si>
  <si>
    <t>1、1.2mm厚 MT-01古铜不锈钢线条（展开面为114mm），结构胶固定
2、9厘玻镁板基层
3、包含完成该项内容所有工作及费用并满足设计图纸、规范等要求</t>
  </si>
  <si>
    <t>MT-01古铜不锈钢顶部收口条（展开面为41mm）</t>
  </si>
  <si>
    <t>1、1.2mm厚 MT-01古铜不锈钢顶部收口条（展开面为41mm），结构胶固定
2、9厘玻镁板基层
3、包含完成该项内容所有工作及费用并满足设计图纸、规范等要求</t>
  </si>
  <si>
    <t>天花工程</t>
  </si>
  <si>
    <t>造型石膏板吊顶</t>
  </si>
  <si>
    <t xml:space="preserve">1.60系列轻钢主龙骨@900，60系列轻钢副龙骨@400，60系列横撑龙骨@600，08螺纹吊杆@900不上人天花吊顶（投影面计算）
2.玻镁板、双层9.5厚石膏板基层，含开孔、检修口、10*10凹槽等费用；
3.含除灯槽外的侧面高差及其连接件、吊件；
4.包含完成该项内容所有工作及费用并满足设计图纸、规范等要求；
</t>
  </si>
  <si>
    <t>灯槽（100mm*200mm）</t>
  </si>
  <si>
    <t>1.灯槽（100mm*200mm）；
2.双层板：9mm玻镁板、9.5厚石膏板；
3.包含完成该项内容所有工作及费用并满足设计图纸、规范等要求；</t>
  </si>
  <si>
    <t>成品石膏线条</t>
  </si>
  <si>
    <t>1.成品石膏线条（50mm*50mm）；
2.按图纸造型；
3.包含完成该项内容所有工作及费用并满足设计图纸、规范等要求；</t>
  </si>
  <si>
    <t>条形空调风口（150mm）</t>
  </si>
  <si>
    <t>1.条形空调风口（150mm）；
2.风口周边阻燃板封边加固处理；
3.包含完成该项内容所有工作及费用并满足设计图纸、规范等要求；</t>
  </si>
  <si>
    <t>天花肌理无机涂料PT-01</t>
  </si>
  <si>
    <t>1.天花肌理无机涂料PT-01；
2.刮腻子二遍磨平；
3.底漆1遍，面漆2遍；
4.包含完成该项内容所有工作及费用并满足设计图纸、规范等要求；</t>
  </si>
  <si>
    <t>门窗、家具工程</t>
  </si>
  <si>
    <t>设备间暗门(不含面层)</t>
  </si>
  <si>
    <t>1、40x40x5mm热镀锌方管骨架、背封铝塑板
2、含天地轴、门吸等五金配件
3、包含完成该项内容所有工作及费用并满足设计图纸、规范等要求</t>
  </si>
  <si>
    <t>电梯厅门（参DR01）</t>
  </si>
  <si>
    <t>1、门扇：1.2mm厚 MT-01古铜不锈钢饰面、GL-01超白钢化玻璃、ST-08石材、L40*40*4镀锌角钢骨架
2、门套：1.2mm厚 MT-01古铜不锈钢饰面
3、定制成品套装门制安
4、含电机、暗铰链、地弹簧等五金配件
5、包含完成该项内容所有工作及费用并满足设计图纸、规范等要求</t>
  </si>
  <si>
    <t>固定玻璃隔断</t>
  </si>
  <si>
    <t>1、GL-01超白钢化玻璃饰面
2、1.2mm厚 MT-01古铜不锈钢饰面边框
3、包含完成该项内容所有工作及费用并满足设计图纸、规范等要求</t>
  </si>
  <si>
    <t>二</t>
  </si>
  <si>
    <t>一层入户大堂、前室（上）</t>
  </si>
  <si>
    <t>地面铺贴大理石ST-01.03拼花</t>
  </si>
  <si>
    <t xml:space="preserve">1.地面20mm大理石拼花、参考3F-DF-01样式、ST-01、ST-03按物料书为准；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</si>
  <si>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造型石膏板吊顶（标高7.15m)</t>
  </si>
  <si>
    <t xml:space="preserve">1.60系列轻钢主龙骨@900，60系列轻钢副龙骨@400，60系列横撑龙骨@600，08螺纹吊杆@900不上人天花吊顶（标高7.15m 投影面计算）
2.玻镁板、双层9.5厚石膏板基层，含开孔、检修口、10*10凹槽等费用；
3.含除灯槽外的侧面高差及其连接件、吊件；
4.包含完成该项内容所有工作及费用并满足设计图纸、规范等要求；
</t>
  </si>
  <si>
    <t>强弱电井暗门(不含面层)</t>
  </si>
  <si>
    <t>消防栓暗门(不含面层)</t>
  </si>
  <si>
    <t>三</t>
  </si>
  <si>
    <t>一层艺术过厅</t>
  </si>
  <si>
    <t>墙面干挂SF-06红砖</t>
  </si>
  <si>
    <t>1、墙面干挂SF-06红砖(墙面刷黑处理)
2、30*30*3镀锌方通钢架，石材干挂胶固定
3、包含完成该项内容所有工作及费用并满足设计图纸、规范等要求</t>
  </si>
  <si>
    <t>MT-01古铜不锈钢饰面</t>
  </si>
  <si>
    <t>1、1.2mm厚 MT-01古铜不锈钢饰面，结构胶固定
2、9厘玻镁板基层
3、工程量以展开面积计算
4、包含完成该项内容所有工作及费用并满足设计图纸、规范等要求</t>
  </si>
  <si>
    <t>透光膜天棚</t>
  </si>
  <si>
    <t>1.透光膜天棚\施工时透气孔和穿线洞口\需加装防虫网防虫措施；
2.不锈钢压边；
3.包含完成该项内容所有工作及费用并满足设计图纸、规范等要求；</t>
  </si>
  <si>
    <t>电动移门(DR02)</t>
  </si>
  <si>
    <t>1、门扇：GL-01超白钢化玻璃
2、门套：1.2mm厚 MT-01古铜不锈钢饰面
3、定制成品套装门制安
4、含电动移门电机(门机安装背梁)等五金配件
5、包含完成该项内容所有工作及费用并满足设计图纸、规范等要求</t>
  </si>
  <si>
    <t>装饰屏风（800mm*100mm*3200mm）</t>
  </si>
  <si>
    <t>1.装饰屏风（800mm*100mm*3200mm）；
2.包括但不限于制作安装、钢结构骨架、阻燃板基层、WD-02木饰面、1.2mm厚 MT-01古铜不锈钢、MT-04手敲铜不锈钢；
3.包含完成该项内容所有工作及费用并满足设计图纸、规范等要求</t>
  </si>
  <si>
    <t>四</t>
  </si>
  <si>
    <t>一层电梯厅（DT3）</t>
  </si>
  <si>
    <t>水井暗门(不含面层)</t>
  </si>
  <si>
    <t>五</t>
  </si>
  <si>
    <t>一层储物间</t>
  </si>
  <si>
    <t>设备间不锈钢门套</t>
  </si>
  <si>
    <t>天花白色防水无机涂料PT-02</t>
  </si>
  <si>
    <t>1.天花白色防水无机涂料PT-02；
2.刮腻子二遍磨平；
3.底漆1遍，面漆2遍；
4.包含完成该项内容所有工作及费用并满足设计图纸、规范等要求；</t>
  </si>
  <si>
    <t>转轴门(DR03)</t>
  </si>
  <si>
    <t>1、正门扇：1.2mm厚 MT-01古铜不锈钢、ST-05石材、不锈钢干挂件、镀锌扁通钢架
2、反门扇：WD-04木饰面、12mm玻镁板
3、定制成品套装门制安
4、含转轴、暗藏闭门器、门把手等五金配件
5、包含完成该项内容所有工作及费用并满足设计图纸、规范等要求</t>
  </si>
  <si>
    <t>六</t>
  </si>
  <si>
    <t xml:space="preserve">一层入户大堂(下） </t>
  </si>
  <si>
    <t>墙面SP-01手绘壁画</t>
  </si>
  <si>
    <t>1、墙面SP-01手绘壁画
2、12mm阻燃板、9mm纸面石膏板、轻钢龙骨构件
3、包含完成该项内容所有工作及费用并满足设计图纸、规范等要求</t>
  </si>
  <si>
    <t>1、1.2mm厚 MT-01古铜不锈钢饰面，结构胶固定
2、9厘玻镁板基层
3、包含完成该项内容所有工作及费用并满足设计图纸、规范等要求</t>
  </si>
  <si>
    <t>服务台</t>
  </si>
  <si>
    <t>1、服务台（2400mm*800mm*1000mm）
2.包括但不限于制作安装、钢结构骨架、石材及石材防污处理、9mm阻燃板基层、ST-07石材台面、1.2mm厚 MT-01古铜不锈钢饰面、SF-05贝母漆、WD-04木饰面；
3.含拉手、抽屉、含相应的线孔洞开设；
4.包含完成该项内容所有工作及费用并满足设计图纸、规范等要求；</t>
  </si>
  <si>
    <t>套</t>
  </si>
  <si>
    <t>七</t>
  </si>
  <si>
    <t>一层过厅通小区</t>
  </si>
  <si>
    <t>八</t>
  </si>
  <si>
    <t>零星工程</t>
  </si>
  <si>
    <t>土建工程</t>
  </si>
  <si>
    <t>新建钢结构隔墙</t>
  </si>
  <si>
    <t>1、新建钢结构隔墙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</si>
  <si>
    <t>B</t>
  </si>
  <si>
    <t>一层咖啡吧（DT6-DT8）</t>
  </si>
  <si>
    <t>地面地砖 CT-01</t>
  </si>
  <si>
    <t xml:space="preserve">1.地面花砖CT-01；
2.10mm厚专用粘结剂；
3.80mm厚DS-M15干混砂浆找平；
4.基层清理；
5.含切边、倒角、拼接等处理；
6.包含完成该项内容所有工作及费用并满足设计图纸、规范等要求；
</t>
  </si>
  <si>
    <t>水泥砂浆找平层</t>
  </si>
  <si>
    <t xml:space="preserve">1.95mm厚DS干混砂浆找平层、需铺符合设计要求标高；
2.完成需收光、压实处理；
3.包含完成该项内容所有工作及费用并满足设计图纸、规范等要求；
</t>
  </si>
  <si>
    <t>墙面CT-05瓷砖</t>
  </si>
  <si>
    <t>1、CT-05瓷砖,瓷砖填缝剂处理
2、背覆胶处理
3、12mm水泥纤维板、轻钢龙骨构件
4、界面剂拉毛处理
5、包含完成该项内容所有工作及费用并满足设计图纸、规范等要求</t>
  </si>
  <si>
    <t>墙面PT-03米色肌理无机涂料</t>
  </si>
  <si>
    <t>1、墙面PT-03米色肌理无机涂料(底漆1遍，面漆2遍)
2、刮白胶腻子找平二遍，打磨
3、阴、阳角护角收边
4、双层9.5mm纸面石膏板
5、轻钢龙骨基层找平
6、包含完成该项内容所有工作及费用并满足设计图纸、规范等要求</t>
  </si>
  <si>
    <t>MR-01银镜</t>
  </si>
  <si>
    <t>1、MR-01银镜
2、胶粘剂固定(中性胶)
3、12mm阻燃板基层
4、膨胀螺栓、轻钢龙骨(钢结构)基层找平
5、包含完成该项内容所有工作及费用并满足设计图纸、规范等要求</t>
  </si>
  <si>
    <t>入户大堂门（参DR01）</t>
  </si>
  <si>
    <t>L形吧台柜</t>
  </si>
  <si>
    <t>1、L形吧台柜（1575+4200mm*600mm*850mm）
2.包括但不限于制作安装、钢结构骨架、石材及石材防污处理、阻燃板基层、ST-06石材台面、1.2mm厚 MT-01古铜不锈钢饰面、WD-04木饰面；
3.含五金配件、相应的线孔洞开设
4.包含完成该项内容所有工作及费用并满足设计图纸、规范等要求</t>
  </si>
  <si>
    <t>MT-02古铜不锈钢置物架</t>
  </si>
  <si>
    <t>1、MT-02古铜不锈钢置物架（L*450mm*130mm）
2、包含完成该项内容所有工作及费用并满足设计图纸、规范等要求</t>
  </si>
  <si>
    <t>一层艺术过厅（DT6-DT8）</t>
  </si>
  <si>
    <t>一层卫生间（DT6-DT8）</t>
  </si>
  <si>
    <t>沉箱陶粒回填</t>
  </si>
  <si>
    <t xml:space="preserve">1、陶粒混凝土回填
2、回填厚度200mm厚
3、完成本清单项目所需的一切相关工作内容，未尽事项详见图纸、工程量清单计价说明、国家相关规范等
</t>
  </si>
  <si>
    <t>20mm厚防水找平层(1:3干硬性水泥砂浆)</t>
  </si>
  <si>
    <t>1.20mm厚防水找平层(1:3干硬性水泥砂浆)；
2.界面剂一道；
3.包含完成该项内容所有工作及费用并满足设计图纸、规范等要求；</t>
  </si>
  <si>
    <t>防水无纺布</t>
  </si>
  <si>
    <t>1.防水无纺布完成面上翻300高(80g/平米)
2.包含完成该项内容所有工作及费用并满足设计图纸、规范等要求；</t>
  </si>
  <si>
    <t>2mm厚JS防水层</t>
  </si>
  <si>
    <t>1.2mm厚JS防水层（两遍）；
2.包含完成该项内容所有工作及费用并满足设计图纸、规范等要求；</t>
  </si>
  <si>
    <t>墙面CT-06瓷砖</t>
  </si>
  <si>
    <t>1、墙面CT-06瓷砖，瓷砖填缝剂处理
2、背覆胶处理
3、C1T等级抗滑移水泥基胶粘剂
4、界面剂拉毛处理
5、包含完成该项内容所有工作及费用并满足设计图纸、规范等要求</t>
  </si>
  <si>
    <t>1.2mm厚JS-Ⅱ聚合物水泥防水涂料</t>
  </si>
  <si>
    <t>1、1.2mm厚JS-Ⅱ聚合物水泥防水涂料
2、包含完成该项内容所有工作及费用并满足设计图纸、规范等要求</t>
  </si>
  <si>
    <t>天花深色肌理无机涂料PT-02</t>
  </si>
  <si>
    <t>1.天花深色肌理无机涂料PT-02；
2.刮腻子二遍磨平；
3.底漆1遍，面漆2遍；
4.包含完成该项内容所有工作及费用并满足设计图纸、规范等要求；</t>
  </si>
  <si>
    <t>一层儿童区（DT6-DT8）</t>
  </si>
  <si>
    <t xml:space="preserve">1.75mm厚DS干混砂浆找平层、需铺符合设计要求标高；
2.完成需收光、压实处理\面层需做自流平（地毯铺设前）；
3.包含完成该项内容所有工作及费用并满足设计图纸、规范等要求；
</t>
  </si>
  <si>
    <t>地面铺贴水磨石VF-01.02</t>
  </si>
  <si>
    <t xml:space="preserve">1.地面铺贴水磨石VF-01.02米色、绿色拼铺、厚度及样式按物料书为准；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</si>
  <si>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地面铺贴地胶垫VF-03</t>
  </si>
  <si>
    <t xml:space="preserve">1.地面铺贴地胶垫VF-03；
2.粘贴层；
3.自流平
4.包含完成该项内容所有工作及费用并满足设计图纸、规范等要求；
</t>
  </si>
  <si>
    <t>墙面PT-04绿色肌理无机涂料</t>
  </si>
  <si>
    <t>1、墙面PT-04绿色肌理无机涂料(底漆1遍，面漆2遍)
2、刮白胶腻子找平二遍，打磨
3、阴、阳角护角收边
4、双层9.5mm纸面石膏板
5、轻钢龙骨基层找平
6、包含完成该项内容所有工作及费用并满足设计图纸、规范等要求</t>
  </si>
  <si>
    <t>一层电梯前厅（DT7-DT8）</t>
  </si>
  <si>
    <t>一层入户大堂\景观廊道（DT6）</t>
  </si>
  <si>
    <t>一层消防控制室前厅（DT6）</t>
  </si>
  <si>
    <t>双开平开门(DR04)</t>
  </si>
  <si>
    <t>1、门扇：颜色材质同消防门、12mm玻镁板、1.2mm厚 MT-01古铜不锈钢饰面
2、定制成品套装门制安
3、含暗藏闭门器、暗合页、门把手等五金配件
4、包含完成该项内容所有工作及费用并满足设计图纸、规范等要求</t>
  </si>
  <si>
    <t>一层电梯前厅（DT5-DT6）</t>
  </si>
  <si>
    <t>九</t>
  </si>
  <si>
    <t>新建轻质砖隔墙</t>
  </si>
  <si>
    <t>1、新建轻质砖隔墙
2、砂浆强度等级、配合比综合考虑，符合设计要求
3、墙厚：综合考虑
4、具体施工做法详见国家相关规范条文
5、包含完成该项内容所有工作及费用并满足设计图纸、规范等要求</t>
  </si>
  <si>
    <t>m3</t>
  </si>
  <si>
    <t>墙面一般抹灰</t>
  </si>
  <si>
    <t>1、墙面一般抹灰
2、具体施工做法详见国家相关规范条文
3、包含完成该项内容所有工作及费用并满足设计图纸、规范等要求</t>
  </si>
  <si>
    <t>C</t>
  </si>
  <si>
    <t>标准层装修部分</t>
  </si>
  <si>
    <t>电梯厅(DT1-DT2)</t>
  </si>
  <si>
    <t>地面铺贴大理石ST-03</t>
  </si>
  <si>
    <t xml:space="preserve">1.地面20mm大理石ST-03、铺贴、厚度及样式按物料书为准；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</si>
  <si>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地面地砖拼花 CT-01.02</t>
  </si>
  <si>
    <t xml:space="preserve">1.地面地砖拼花 CT-01.02；
2.10mm厚专用粘结剂；
3.80mm厚DS-M15干混砂浆找平；
4.基层清理；
5.含切边、倒角、拼接等处理；
6.包含完成该项内容所有工作及费用并满足设计图纸、规范等要求；
</t>
  </si>
  <si>
    <t>墙面WD-08摩素板</t>
  </si>
  <si>
    <t>1、墙面WD-08摩素板(结构胶固定)
2、12厘玻镁板基层
3、膨胀螺栓、轻钢龙骨(钢结构)基层找平
4、包含完成该项内容所有工作及费用并满足设计图纸、规范等要求</t>
  </si>
  <si>
    <t>WD-07摩素板</t>
  </si>
  <si>
    <t>1、墙面WD-07摩素板(结构胶固定)
2、12厘玻镁板基层
3、膨胀螺栓、轻钢龙骨(钢结构)基层找平
4、包含完成该项内容所有工作及费用并满足设计图纸、规范等要求</t>
  </si>
  <si>
    <t>墙面PT-01肌理无机涂料</t>
  </si>
  <si>
    <t>1、墙面PT-01肌理无机涂料(底漆1遍，面漆2遍)
2、刮白胶腻子找平二遍，打磨
3、阴、阳角护角收边
4、双层9.5mm纸面石膏板
5、轻钢龙骨基层找平
6、包含完成该项内容所有工作及费用并满足设计图纸、规范等要求</t>
  </si>
  <si>
    <t>1、1.2mm厚 MT-01古铜不锈钢饰面，结构胶固定
2、12厘玻镁板基层
3、包含完成该项内容所有工作及费用并满足设计图纸、规范等要求</t>
  </si>
  <si>
    <t>MT-04手敲铜不锈钢饰面</t>
  </si>
  <si>
    <t>1、1.2mm厚 MT-04手敲铜不锈钢饰面，结构胶固定
2、12厘玻镁板基层
3、包含完成该项内容所有工作及费用并满足设计图纸、规范等要求</t>
  </si>
  <si>
    <t>SF-03透光片</t>
  </si>
  <si>
    <t>1、SF-03透光片，结构胶固定
2、12厘玻镁板基层
3、包含完成该项内容所有工作及费用并满足设计图纸、规范等要求</t>
  </si>
  <si>
    <t>MT-01古铜不锈钢线条（展开面为32mm）</t>
  </si>
  <si>
    <t>1、1.2mm厚 MT-01古铜不锈钢线条（展开面为32mm），结构胶固定
2、12厘玻镁板基层
3、包含完成该项内容所有工作及费用并满足设计图纸、规范等要求</t>
  </si>
  <si>
    <t>MT-01古铜不锈钢线条（展开面为33mm）</t>
  </si>
  <si>
    <t>1、1.2mm厚 MT-01古铜不锈钢线条（展开面为33mm），结构胶固定
2、12厘玻镁板基层
3、包含完成该项内容所有工作及费用并满足设计图纸、规范等要求</t>
  </si>
  <si>
    <t>MT-01古铜不锈钢窗套（展开面为95mm）</t>
  </si>
  <si>
    <t>1、1.2mm厚 MT-01古铜不锈钢窗套（展开面为95mm），结构胶固定
2、9厘玻镁板基层
3、包含完成该项内容所有工作及费用并满足设计图纸、规范等要求</t>
  </si>
  <si>
    <t>电梯厅(DT3-DT4)</t>
  </si>
  <si>
    <t>电梯厅(DT6)</t>
  </si>
  <si>
    <t>电梯厅(DT7)</t>
  </si>
  <si>
    <t>拆除墙体</t>
  </si>
  <si>
    <t>1、拆除墙体
2、墙厚：综合考虑
3、包含完成该项内容所有工作及费用并满足设计图纸、规范等要求</t>
  </si>
  <si>
    <t>D</t>
  </si>
  <si>
    <t>会所装修部分（第三层）</t>
  </si>
  <si>
    <t>门厅</t>
  </si>
  <si>
    <t>地面1:3:5(水泥:沙:陶粒)</t>
  </si>
  <si>
    <t xml:space="preserve">1、陶粒混凝土回填
2、回填厚度165mm厚
3、完成本清单项目所需的一切相关工作内容，未尽事项详见图纸、工程量清单计价说明、国家相关规范等
</t>
  </si>
  <si>
    <t>地台钢支架围挡</t>
  </si>
  <si>
    <t>1.地台钢支架围挡 H260mm
2.预埋5mm厚度镀锌钢板与支架成型、防锈防腐处理
3.包含完成该项内容所有工作及费用并满足设计图纸、规范等要求；</t>
  </si>
  <si>
    <t xml:space="preserve">1.地面20mm大理石ST-01、皮革面与非皮革面错位铺贴、厚度及样式按物料书为准；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</si>
  <si>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地面铺贴大理石ST-01拼花</t>
  </si>
  <si>
    <t xml:space="preserve">1.地面20mm大理石拼花、参考3F-DF-01样式、ST-01按物料书为准；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</si>
  <si>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地面铺贴大理石ST-05</t>
  </si>
  <si>
    <t xml:space="preserve">1.地面大理石ST-05铺贴、厚度及样式按物料书为准；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</si>
  <si>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1、墙面干挂ST-05石材（含不锈钢线条）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</si>
  <si>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1、墙面干挂ST-05石材（波浪造型，含不锈钢线条）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</si>
  <si>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墙面WD-03木饰面</t>
  </si>
  <si>
    <t>1、墙面WD-03木饰面（含不锈钢线条）
2、结构胶固定
3、12mm阻燃板基层
4、膨胀螺栓、轻钢龙骨(钢结构)基层找平
5、包含完成该项内容所有工作及费用并满足设计图纸、规范等要求</t>
  </si>
  <si>
    <t>1、MR-01银镜（含不锈钢线条）
2、胶粘剂固定(中性胶)
3、12mm阻燃板基层
4、膨胀螺栓、轻钢龙骨(钢结构)基层找平
5、包含完成该项内容所有工作及费用并满足设计图纸、规范等要求</t>
  </si>
  <si>
    <t>12mm阻燃板+9.5mm纸面石膏板(刷白处理)</t>
  </si>
  <si>
    <t>1、12mm阻燃板+9.5mm纸面石膏板(刷白处理)
2、包含完成该项内容所有工作及费用并满足设计图纸、规范等要求</t>
  </si>
  <si>
    <t>1.60系列轻钢主龙骨@900，60系列轻钢副龙骨@400，60系列横撑龙骨@600，08螺纹吊杆@900不上人天花吊顶（投影面计算）
2.双层9.5厚石膏板基层，含开孔、检修口、10*10凹槽等费用；
3.含除灯槽外的侧面高差及其连接件、吊件；
4.包含完成该项内容所有工作及费用并满足设计图纸、规范等要求；</t>
  </si>
  <si>
    <t>可拆卸天花铝板吊顶</t>
  </si>
  <si>
    <t xml:space="preserve">1.异形勾搭龙骨，08螺纹吊杆@900不上人天花吊顶（投影面计算）
2.可拆卸天花铝板吊顶，含开孔、检修口、10*10凹槽等费用；
3.含除灯槽外的侧面高差及其连接件、吊件；
4.包含完成该项内容所有工作及费用并满足设计图纸、规范等要求；
</t>
  </si>
  <si>
    <t>窗帘盒（200mm*200mm）</t>
  </si>
  <si>
    <t>1.窗帘盒窗帘盒（200mm*200mm）；
2.双层板：9mm玻镁板、9.5厚石膏板；
3.50系列轻钢龙骨及其连接件、吊件；
4.包含完成该项内容所有工作及费用并满足设计图纸、规范等要求；</t>
  </si>
  <si>
    <t>天花内部喷白涂料</t>
  </si>
  <si>
    <t>1.天花内部喷白涂料；
2.可拆卸天花内部构件、管道、楼板喷白处理；
3.底漆1遍，面漆1遍（按天棚投影面积计算）；
4.包含完成该项内容所有工作及费用并满足设计图纸、规范等要求；</t>
  </si>
  <si>
    <t>装饰屏风（1810mm*100mm*3400mm）</t>
  </si>
  <si>
    <t>1.装饰屏风（1810mm*100mm*3400mm）；
2.包括但不限于制作安装、钢结构骨架、阻燃板基层、WD-01木饰面、WD-06木皮、1.2mm厚 MT-01古铜不锈钢、MT-04手敲铜不锈钢；
3.包含完成该项内容所有工作及费用并满足设计图纸、规范等要求</t>
  </si>
  <si>
    <t>接待台</t>
  </si>
  <si>
    <t>1、接待台（3550mm*1100mm*1100mm）
2.包括但不限于制作安装、钢结构骨架、石材及石材防污处理、9mm阻燃板基层、ST-07石材台面、WD-04木饰面；
3.含五金配件、相应的线孔洞开设等；
4.包含完成该项内容所有工作及费用并满足设计图纸、规范等要求；</t>
  </si>
  <si>
    <t>电梯厅、艺术过厅</t>
  </si>
  <si>
    <t>造型石膏板吊顶（含圆侧）</t>
  </si>
  <si>
    <t>电表间暗门(不含面层)</t>
  </si>
  <si>
    <t>半户外花园</t>
  </si>
  <si>
    <t>地面地砖 CT-05</t>
  </si>
  <si>
    <t xml:space="preserve">1.地面花砖CT-05；
2.10mm厚专用粘结剂；
3.80mm厚DS-M15干混砂浆找平；
4.基层清理；
5.含切边、倒角、拼接等处理；
6.包含完成该项内容所有工作及费用并满足设计图纸、规范等要求；
</t>
  </si>
  <si>
    <t>天花白色无机涂料PT-01</t>
  </si>
  <si>
    <t>1.天花白色无机涂料PT-01；
2.刮腻子二遍磨平；
3.底漆1遍，面漆2遍；
4.包含完成该项内容所有工作及费用并满足设计图纸、规范等要求；</t>
  </si>
  <si>
    <t>男卫、女卫、清洁间</t>
  </si>
  <si>
    <t>墙面干挂ST-03石材</t>
  </si>
  <si>
    <t>1、墙面干挂ST-03石材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</si>
  <si>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墙面WD-04木饰面</t>
  </si>
  <si>
    <t>1、墙面WD-04木饰面（含不锈钢线条）
2、结构胶固定
3、12mm阻燃板基层
4、膨胀螺栓、轻钢龙骨(钢结构)基层找平
5、包含完成该项内容所有工作及费用并满足设计图纸、规范等要求</t>
  </si>
  <si>
    <t>WP-03墙布</t>
  </si>
  <si>
    <t>1、WP-03墙布，结构胶固定（含不锈钢线条）
2、12mm阻燃板，轻钢副龙骨@400
3、包含完成该项内容所有工作及费用并满足设计图纸、规范等要求</t>
  </si>
  <si>
    <t>1、CT-06瓷砖,瓷砖填缝剂处理
2、背覆胶处理
3、12mm水泥纤维板、轻钢龙骨构件
4、界面剂拉毛处理
5、包含完成该项内容所有工作及费用并满足设计图纸、规范等要求</t>
  </si>
  <si>
    <t>条形空调风口（150mm宽）</t>
  </si>
  <si>
    <t>1.条形空调风口（150mm宽）；
2.风口周边阻燃板封边加固处理；
3.包含完成该项内容所有工作及费用并满足设计图纸、规范等要求；</t>
  </si>
  <si>
    <t>门窗工程</t>
  </si>
  <si>
    <t>卫生间门（DR01）</t>
  </si>
  <si>
    <t>1、门扇：WD-03木饰面、20*40mm热镀锌矩管、9mm厚玻镁板基层
2、门套：WD-03木饰面
3、定制成品套装门制安
4、含暗合页、门把手等五金配件
5、包含完成该项内容所有工作及费用并满足设计图纸、规范等要求</t>
  </si>
  <si>
    <t>清洁间门</t>
  </si>
  <si>
    <t>1、门扇：WD-03木饰面、20*40mm热镀锌矩管、9mm厚玻镁板基层
2、定制成品套装门制安
3、含暗合页、门把手等五金配件
4、包含完成该项内容所有工作及费用并满足设计图纸、规范等要求</t>
  </si>
  <si>
    <t>洗手台镜柜一体</t>
  </si>
  <si>
    <t>1、洗手台镜柜一体（1790mm*660mm*2550mm）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</si>
  <si>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WD-04木饰面隔断</t>
  </si>
  <si>
    <t>1、WD-04木饰面隔断
2、含五金配件及门
3、包含完成该项内容所有工作及费用并满足设计图纸、规范等要求</t>
  </si>
  <si>
    <t>GL-02艺术玻璃隔断</t>
  </si>
  <si>
    <t>1、GL-02艺术玻璃隔断（400mm*50mm*1070mm）
2、GL-02艺术玻璃饰面、MT-01古铜不锈钢边框、20x40x3mm热镀锌方管、3mm热镀锌钢板U型槽
3、包含完成该项内容所有工作及费用并满足设计图纸、规范等要求</t>
  </si>
  <si>
    <t>洽谈区\沙盘区\水吧区</t>
  </si>
  <si>
    <t xml:space="preserve">1.75mm厚DS干混砂浆找平层、需铺符合设计要求标高；
2.完成需收光、压实处理；
3.包含完成该项内容所有工作及费用并满足设计图纸、规范等要求；
</t>
  </si>
  <si>
    <t>墙面WD-01木饰面</t>
  </si>
  <si>
    <t>1、墙面WD-01木饰面（含不锈钢线条）
2、结构胶固定
3、12mm阻燃板基层
4、膨胀螺栓、轻钢龙骨(钢结构)基层找平
5、包含完成该项内容所有工作及费用并满足设计图纸、规范等要求</t>
  </si>
  <si>
    <t>SF-04陶瓷砖</t>
  </si>
  <si>
    <t>1、SF-04陶瓷砖，结构胶固定
2、12厘玻镁板基层
3、包含完成该项内容所有工作及费用并满足设计图纸、规范等要求</t>
  </si>
  <si>
    <t>MT-01古铜不锈钢线条（展开面为61mm）</t>
  </si>
  <si>
    <t>1、1.2mm厚 MT-01古铜不锈钢线条（展开面为61mm），结构胶固定
2、9厘玻镁板基层
3、包含完成该项内容所有工作及费用并满足设计图纸、规范等要求</t>
  </si>
  <si>
    <t>MT-01古铜不锈钢线条（展开面为104mm）</t>
  </si>
  <si>
    <t>1、1.2mm厚 MT-01古铜不锈钢线条（展开面为104mm），结构胶固定
2、9厘玻镁板基层
3、包含完成该项内容所有工作及费用并满足设计图纸、规范等要求</t>
  </si>
  <si>
    <t>造型石膏板吊顶（内顶多层叠型）</t>
  </si>
  <si>
    <t xml:space="preserve">1.60系列轻钢主龙骨@900，60系列轻钢副龙骨@400，60系列横撑龙骨@600，08螺纹吊杆@900不上人天花吊顶（投影面计算）
2.玻镁板、多层9.5厚石膏板基层，含开孔、检修口、10*10凹槽等费用；
3.含除灯槽外的侧面高差及其连接件、吊件；
4.包含完成该项内容所有工作及费用并满足设计图纸、规范等要求；
</t>
  </si>
  <si>
    <t>配电间暗门(不含面层)</t>
  </si>
  <si>
    <t>沙盘</t>
  </si>
  <si>
    <t>1、沙盘（3500mm*2500mm*850mm）
2.包括但不限于制作安装、钢结构骨架、石材及石材防污处理、阻燃板基层、ST-07石材、1.2mm厚 MT-01古铜不锈钢饰面、GL-01超白钢化玻璃；
3.含五金配件、相应的线孔洞开设
4.包含完成该项内容所有工作及费用并满足设计图纸、规范等要求</t>
  </si>
  <si>
    <t>洽谈区柜</t>
  </si>
  <si>
    <t>1、洽谈区柜（4050mm*350mm*3400mm）
2.包括但不限于制作安装、钢结构骨架、阻燃板基层、1.2mm厚 MT-01古铜不锈钢线条、WD-04木饰面、GL-02艺术玻璃；
3.含相应的线孔洞开设
4.包含完成该项内容所有工作及费用并满足设计图纸、规范等要求</t>
  </si>
  <si>
    <t>水吧台</t>
  </si>
  <si>
    <t>1、水吧台（6800mm*1100mm*3400mm）
2.包括但不限于制作安装、钢结构骨架、石材及石材防污处理、9mm阻燃板基层、ST-06石材台面、MT-08镜面不锈钢饰面、MT-01不锈钢、MT-02不锈钢、SF-03透光片；
3.含层板、五金配件、相应的线孔洞开设；
4.包含完成该项内容所有工作及费用并满足设计图纸、规范等要求；</t>
  </si>
  <si>
    <t>VIP室</t>
  </si>
  <si>
    <t>地面铺木地板</t>
  </si>
  <si>
    <t xml:space="preserve">1.地面防潮木地板WF-03；
2.防潮膜；
3.自流平
4.包含完成该项内容所有工作及费用并满足设计图纸、规范等要求；
</t>
  </si>
  <si>
    <t>1、墙面WD-04木饰面
2、结构胶固定
3、12mm阻燃板基层
4、膨胀螺栓、轻钢龙骨(钢结构)基层找平
5、包含完成该项内容所有工作及费用并满足设计图纸、规范等要求</t>
  </si>
  <si>
    <t>UP-02皮革</t>
  </si>
  <si>
    <t>1、UP-02皮革，结构胶固定（含不锈钢线条）
2、12mm阻燃板，轻钢副龙骨@400
3、包含完成该项内容所有工作及费用并满足设计图纸、规范等要求</t>
  </si>
  <si>
    <t>1、门扇：1.2mm厚 MT-01古铜不锈钢饰面、GL-02艺术玻璃、ST-08石材、50*50热镀锌矩管、9mm厚玻镁板基层
2、定制成品套装门制安
3、含天地轴等五金配件
4、包含完成该项内容所有工作及费用并满足设计图纸、规范等要求</t>
  </si>
  <si>
    <t>艺术过厅</t>
  </si>
  <si>
    <t xml:space="preserve">1.地面防潮木地板WF-02；
2.防潮膜；
3.自流平
4.包含完成该项内容所有工作及费用并满足设计图纸、规范等要求；
</t>
  </si>
  <si>
    <t>财务签约室</t>
  </si>
  <si>
    <t>WP-05墙布</t>
  </si>
  <si>
    <t>1、WP-05墙布，结构胶固定（含不锈钢线条）
2、12mm阻燃板，轻钢副龙骨@400
3、包含完成该项内容所有工作及费用并满足设计图纸、规范等要求</t>
  </si>
  <si>
    <t>平开门(DR04)</t>
  </si>
  <si>
    <t>销售办公室</t>
  </si>
  <si>
    <t>办公室门(DR06)</t>
  </si>
  <si>
    <t>1、正门扇：1.2mm厚 MT-01古铜不锈钢、WD-03木饰面、镀锌扁通钢架、9mm厚玻镁板基层
2、反门扇：SF-02软瓷
3、定制成品套装门制安
4、含暗合页、门把手等五金配件
5、包含完成该项内容所有工作及费用并满足设计图纸、规范等要求</t>
  </si>
  <si>
    <t>电梯厅(DT5.DT6)</t>
  </si>
  <si>
    <t>电梯厅门（参DR05）</t>
  </si>
  <si>
    <t>十</t>
  </si>
  <si>
    <t>行政酒廊</t>
  </si>
  <si>
    <t>墙面干挂ST-09石材</t>
  </si>
  <si>
    <t>1、墙面干挂ST-09石材（含不锈钢线条）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</si>
  <si>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SF-02软瓷</t>
  </si>
  <si>
    <t>1、SF-02软瓷，结构胶固定
2、12厘玻镁板基层
3、包含完成该项内容所有工作及费用并满足设计图纸、规范等要求</t>
  </si>
  <si>
    <t>UP-01皮革</t>
  </si>
  <si>
    <t>1、UP-01皮革，结构胶固定（含不锈钢线条）
2、12mm阻燃板，轻钢副龙骨@400
3、包含完成该项内容所有工作及费用并满足设计图纸、规范等要求</t>
  </si>
  <si>
    <t>MT-01古铜不锈钢线条（展开面为118mm）</t>
  </si>
  <si>
    <t>1、1.2mm厚MT-01古铜不锈钢线条（展开面为118mm），结构胶固定
2、9厘玻镁板基层
3、包含完成该项内容所有工作及费用并满足设计图纸、规范等要求</t>
  </si>
  <si>
    <t>甲级防火门（DR05）</t>
  </si>
  <si>
    <t>甲级防火门(DR07)</t>
  </si>
  <si>
    <t>十一</t>
  </si>
  <si>
    <t>送餐通道、主题壁画通道</t>
  </si>
  <si>
    <t>十二</t>
  </si>
  <si>
    <t>储物间\半户外花园</t>
  </si>
  <si>
    <t>十三</t>
  </si>
  <si>
    <t>私宴(小包房)</t>
  </si>
  <si>
    <t>WP-02墙布</t>
  </si>
  <si>
    <t>1、WP-02墙布，结构胶固定（含不锈钢线条）
2、12mm阻燃板，轻钢副龙骨@400
3、包含完成该项内容所有工作及费用并满足设计图纸、规范等要求</t>
  </si>
  <si>
    <t>镜面不锈钢吊顶</t>
  </si>
  <si>
    <t xml:space="preserve">1.60系列轻钢主龙骨@900，60系列轻钢副龙骨@400，60系列横撑龙骨@600，08螺纹吊杆@900不上人天花吊顶（投影面计算）
2.玻镁板、复合9mm蜂窝不锈钢MT-08，含开孔、检修口等费用；
3.含除灯槽外的侧面高差及其连接件、吊件；
4.包含完成该项内容所有工作及费用并满足设计图纸、规范等要求；
</t>
  </si>
  <si>
    <t>转轴门(DR08)</t>
  </si>
  <si>
    <t>GL-04艺术玻璃隔断</t>
  </si>
  <si>
    <t>1、GL-04艺术玻璃隔断、MT-01古铜不锈钢边框（由专业厂家深化）
2、包含完成该项内容所有工作及费用并满足设计图纸、规范等要求</t>
  </si>
  <si>
    <t>GL-04艺术玻璃平开门</t>
  </si>
  <si>
    <t>1、GL-04艺术玻璃平开门、MT-01古铜不锈钢边框（由专业厂家深化）
2、包含完成该项内容所有工作及费用并满足设计图纸、规范等要求</t>
  </si>
  <si>
    <t>酒窖收纳架</t>
  </si>
  <si>
    <t>1、酒窖收纳架（1545mm*1545mm*3400mm）
2、包含完成该项内容所有工作及费用并满足设计图纸、规范等要求</t>
  </si>
  <si>
    <t>十四</t>
  </si>
  <si>
    <t>候梯厅(消防电梯前室)</t>
  </si>
  <si>
    <t>电梯厅门（参DR07）</t>
  </si>
  <si>
    <t>十五</t>
  </si>
  <si>
    <t>地面铺贴大理石st-01、ST-03（波打）</t>
  </si>
  <si>
    <t xml:space="preserve">1.地面20mm大理石ST-01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</si>
  <si>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私宴(大包房)</t>
  </si>
  <si>
    <t>十六</t>
  </si>
  <si>
    <t>私宴(大包房)、前厅</t>
  </si>
  <si>
    <t>地面铺贴大理石ST-06</t>
  </si>
  <si>
    <t xml:space="preserve">1.地面20mm大理石ST-06、铺贴、厚度及样式按物料书为准；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</si>
  <si>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 xml:space="preserve">1.地面防潮木地板WF-01；
2.防潮膜；
3.自流平
4.包含完成该项内容所有工作及费用并满足设计图纸、规范等要求；
</t>
  </si>
  <si>
    <t>SF-08珐琅彩</t>
  </si>
  <si>
    <t>1、SF-08珐琅彩，结构胶固定
2、12厘玻镁板基层
3、包含完成该项内容所有工作及费用并满足设计图纸、规范等要求</t>
  </si>
  <si>
    <t>古铜不锈钢吊顶</t>
  </si>
  <si>
    <t xml:space="preserve">1.60系列轻钢主龙骨@900，60系列轻钢副龙骨@400，60系列横撑龙骨@600，08螺纹吊杆@900不上人天花吊顶（投影面计算）
2.玻镁板、古铜不锈钢MT-01，含开孔、检修口等费用；
3.含除灯槽外的侧面高差及其连接件、吊件；
4.包含完成该项内容所有工作及费用并满足设计图纸、规范等要求；
</t>
  </si>
  <si>
    <t>转轴门(DR011)</t>
  </si>
  <si>
    <t>1、门扇：1.2mm厚 MT-01古铜不锈钢饰面、GL-02艺术玻璃、ST-08石材
2、门套：WD-04木饰面
3、定制成品套装门制安
4、含天地轴等五金配件
5、包含完成该项内容所有工作及费用并满足设计图纸、规范等要求</t>
  </si>
  <si>
    <t>平开门(DR12)</t>
  </si>
  <si>
    <t>1、门扇：WD-04木饰面、20*40mm热镀锌矩管、9mm厚玻镁板基层
2、定制成品套装门制安
3、含暗合页、门把手等五金配件
4、包含完成该项内容所有工作及费用并满足设计图纸、规范等要求</t>
  </si>
  <si>
    <t>平开门（参DR01）</t>
  </si>
  <si>
    <t>收纳柜</t>
  </si>
  <si>
    <t>1、收纳柜（1400mm*600mm*3400mm）
2.包括但不限于制作安装、钢结构骨架、阻燃板基层、1.2mm厚 MT-01古铜不锈钢线条、WD-04木饰面
3.含五金配件等
4.包含完成该项内容所有工作及费用并满足设计图纸、规范等要求</t>
  </si>
  <si>
    <t>开放柜</t>
  </si>
  <si>
    <t>1、洽谈区柜（1100mm*600mm*2020mm）
2.包括但不限于制作安装、钢结构骨架、阻燃板基层、ST-07石材台面、1.2mm厚 MT-01古铜不锈钢线条、WD-04木饰面
3.含层板、五金配件、相应的线孔洞开设等
4.包含完成该项内容所有工作及费用并满足设计图纸、规范等要求</t>
  </si>
  <si>
    <t>备餐柜</t>
  </si>
  <si>
    <t>1、备餐柜（L*600mm*850mm）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</si>
  <si>
    <t>十七</t>
  </si>
  <si>
    <t>卫生间</t>
  </si>
  <si>
    <t>WP-04墙布</t>
  </si>
  <si>
    <t>1、WP-04墙布，结构胶固定（含不锈钢线条）
2、12mm阻燃板，轻钢副龙骨@400
3、包含完成该项内容所有工作及费用并满足设计图纸、规范等要求</t>
  </si>
  <si>
    <t>卫生间门（参DR12）</t>
  </si>
  <si>
    <t>1、门扇：1.2mm厚 MT-01古铜不锈钢饰面、WD-04木饰面
2、定制成品套装门制安
3、含门把手等五金配件
4、包含完成该项内容所有工作及费用并满足设计图纸、规范等要求</t>
  </si>
  <si>
    <t>洗手台</t>
  </si>
  <si>
    <t>1、洗手台（Lmm*470mm*600mm）
2.包括但不限于制作安装、钢结构骨架、石材及石材防污处理、9mm阻燃板基层、ST-07石材台面、1.2mm厚 MT-01古铜不锈钢饰面、WD-03木饰面；
3.含拉手、抽屉、含相应的线孔洞开设；
4.包含完成该项内容所有工作及费用并满足设计图纸、规范等要求；</t>
  </si>
  <si>
    <t>十八</t>
  </si>
  <si>
    <t>储物间\操作间</t>
  </si>
  <si>
    <t>平开门(DR010)</t>
  </si>
  <si>
    <t>平开门(DR009)</t>
  </si>
  <si>
    <t>1、正门扇：1.2mm厚 MT-01古铜不锈钢、WD-03木饰面、20*40mm热镀锌矩管、9mm厚玻镁板基层
2、反门扇：MR-01银镜
3、定制成品套装门制安
4、含转轴、暗藏闭门器、门把手等五金配件
5、包含完成该项内容所有工作及费用并满足设计图纸、规范等要求</t>
  </si>
  <si>
    <t>操作间地柜</t>
  </si>
  <si>
    <t>1、操作间地柜（L*600mm*850mm）
2.包括但不限于制作安装、钢结构骨架、石材及石材防污处理、阻燃板基层、ST-07石材台面、1.2mm厚 MT-01古铜不锈钢饰面、WD-03木饰面；
3.含五金配件、相应的线孔洞开设
4.包含完成该项内容所有工作及费用并满足设计图纸、规范等要求</t>
  </si>
  <si>
    <t>十九</t>
  </si>
  <si>
    <t>简餐咖啡厅</t>
  </si>
  <si>
    <t>地面铺贴大理石st-02、ST-03（波打）</t>
  </si>
  <si>
    <t xml:space="preserve">1.地面20mm大理石ST-02 、ST-03（波打）、铺贴、厚度及样式按物料书为准；
2.10mm厚石材专用粘结剂；
3.70mm厚DS-M15干混砂浆找平；
4.基层清理、石材六面防护、背面刷胶封闭,同色云石胶补缝；
5.含开槽、磨边、倒角、拼接等处理；
6.包含完成该项内容所有工作及费用并满足设计图纸、规范等要求；
</t>
  </si>
  <si>
    <t>墙面CT-04瓷砖</t>
  </si>
  <si>
    <r>
      <rPr>
        <sz val="10"/>
        <color rgb="FF000000"/>
        <rFont val="宋体"/>
        <charset val="134"/>
        <scheme val="major"/>
      </rPr>
      <t>1、CT-04瓷砖,瓷砖填缝剂处理
2、背覆胶处理
3、</t>
    </r>
    <r>
      <rPr>
        <sz val="10"/>
        <color rgb="FF000000"/>
        <rFont val="微软雅黑"/>
        <charset val="134"/>
      </rPr>
      <t>Φ</t>
    </r>
    <r>
      <rPr>
        <sz val="10"/>
        <color rgb="FF000000"/>
        <rFont val="宋体"/>
        <charset val="134"/>
        <scheme val="major"/>
      </rPr>
      <t>6钢筋焊钢丝网固定
4、界面剂拉毛处理
5、包含完成该项内容所有工作及费用并满足设计图纸、规范等要求</t>
    </r>
  </si>
  <si>
    <t>成品石膏板造型吊顶</t>
  </si>
  <si>
    <t xml:space="preserve">1.60系列轻钢主龙骨@900，60系列轻钢副龙骨@400，60系列横撑龙骨@600，08螺纹吊杆@900不上人天花吊顶（投影面计算）
2.玻镁板、半圆成品石膏板造型吊顶，含开孔、检修口等费用；
3.含除灯槽外的侧面高差及其连接件、吊件；
4.包含完成该项内容所有工作及费用并满足设计图纸、规范等要求；
</t>
  </si>
  <si>
    <t>1、水吧台（4350mm*900mm*1100mm）
2.包括但不限于制作安装、钢结构骨架、石材及石材防污处理、9mm阻燃板基层、ST-06石材台面、MT-08镜面不锈钢饰面、MT-01不锈钢线条、WD-03木饰面；
3.含拉手、抽屉、含相应的线孔洞开设；
4.包含完成该项内容所有工作及费用并满足设计图纸、规范等要求；</t>
  </si>
  <si>
    <t>水吧柜</t>
  </si>
  <si>
    <t>1、水吧柜（Lmm*450mm*520mm）
2.包括但不限于制作安装、钢结构骨架、石材及石材防污处理、阻燃板基层、ST-06石材台面、1.2mm厚 MT-01古铜不锈钢线条、WD-03木饰面；
3.含合页等五金配件、相应的线孔洞开设
4.包含完成该项内容所有工作及费用并满足设计图纸、规范等要求</t>
  </si>
  <si>
    <t>MT-01古铜不锈钢置物架</t>
  </si>
  <si>
    <t>1、MT-01古铜不锈钢置物架（L*300mm*85mm）
2、包含完成该项内容所有工作及费用并满足设计图纸、规范等要求</t>
  </si>
  <si>
    <t>二十</t>
  </si>
  <si>
    <t>E</t>
  </si>
  <si>
    <t>健身房装修部分（第三层）</t>
  </si>
  <si>
    <t>瑜伽室</t>
  </si>
  <si>
    <t>1.75mm厚DS干混砂浆找平层、需铺符合设计要求标高；
2.完成需收光、压实处理\面层需做自流平（地毯铺设前）；
3.包含完成该项内容所有工作及费用并满足设计图纸、规范等要求；</t>
  </si>
  <si>
    <t>地面铺贴ES-04木纹运动地胶</t>
  </si>
  <si>
    <t>1.地面铺贴ES-04木纹运动地胶；
2.粘贴层；
3.自流平
4.包含完成该项内容所有工作及费用并满足设计图纸、规范等要求；</t>
  </si>
  <si>
    <t>墙面WD-04摩素板</t>
  </si>
  <si>
    <t>1、墙面WD-04摩素板(结构胶固定，含不锈钢线条)
2、12mm阻燃板基层
3、轻钢副龙骨@400、轻钢龙骨构件
4、包含完成该项内容所有工作及费用并满足设计图纸、规范等要求</t>
  </si>
  <si>
    <t>灯槽（100mm*300mm）</t>
  </si>
  <si>
    <t>1.灯槽（100mm*300mm）；
2.双层板：双层9.5mm厚石膏板；
3.包含完成该项内容所有工作及费用并满足设计图纸、规范等要求；</t>
  </si>
  <si>
    <t>1.成品石膏线条；
2.按图纸造型；
3.包含完成该项内容所有工作及费用并满足设计图纸、规范等要求；</t>
  </si>
  <si>
    <t>窗帘盒（100mm*200mm）</t>
  </si>
  <si>
    <t>1.窗帘盒窗帘盒（100mm*200mm）；
2.双层板：9mm玻镁板、9.5厚石膏板；
3.50系列轻钢龙骨及其连接件、吊件；
4.包含完成该项内容所有工作及费用并满足设计图纸、规范等要求；</t>
  </si>
  <si>
    <t>玻璃门</t>
  </si>
  <si>
    <t>玻璃隔断</t>
  </si>
  <si>
    <t>1、GL-02艺术玻璃隔断、MT-01古铜不锈钢边框（由专业厂家深化）
2、包含完成该项内容所有工作及费用并满足设计图纸、规范等要求</t>
  </si>
  <si>
    <t>平开门</t>
  </si>
  <si>
    <t>健身房</t>
  </si>
  <si>
    <t>地面铺贴ES-01浅色运动地胶</t>
  </si>
  <si>
    <t>1.地面铺贴ES-01浅色运动地胶；
2.粘贴层；
3.自流平
4.包含完成该项内容所有工作及费用并满足设计图纸、规范等要求；</t>
  </si>
  <si>
    <t>地面铺贴ES-02米色运动地胶</t>
  </si>
  <si>
    <t>1.地面铺贴ES-02米色运动地胶；
2.粘贴层；
3.自流平
4.包含完成该项内容所有工作及费用并满足设计图纸、规范等要求；</t>
  </si>
  <si>
    <t>地面铺贴ES-03深色运动地胶</t>
  </si>
  <si>
    <t>1.地面铺贴ES-03深色运动地胶；
2.粘贴层；
3.自流平
4.包含完成该项内容所有工作及费用并满足设计图纸、规范等要求；</t>
  </si>
  <si>
    <t>镜柜</t>
  </si>
  <si>
    <t>1、镜柜（1760mm*480mm*3200mm）
2.包括但不限于制作安装、阻燃板基层、1.2mm厚 MT-01古铜不锈钢线条、WD-01木饰面、MR-01银镜
3.含五金配件等
4.包含完成该项内容所有工作及费用并满足设计图纸、规范等要求</t>
  </si>
  <si>
    <t>收纳柜L900mm</t>
  </si>
  <si>
    <t>1、收纳柜（900mm*500mm*3200mm）
2.包括但不限于制作安装、阻燃板基层、WD-01木饰面
3.含五金配件等
4.包含完成该项内容所有工作及费用并满足设计图纸、规范等要求</t>
  </si>
  <si>
    <t>收纳柜L1400mm</t>
  </si>
  <si>
    <t>1、收纳柜（1400mm*500mm*3200mm）
2.包括但不限于制作安装、阻燃板基层、WD-01木饰面
3.含五金配件等
4.包含完成该项内容所有工作及费用并满足设计图纸、规范等要求</t>
  </si>
  <si>
    <t>热水间</t>
  </si>
  <si>
    <t>墙面湿贴石材ST-03踢脚线</t>
  </si>
  <si>
    <t>1、墙面湿贴石材ST-03踢脚线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</si>
  <si>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石膏板吊顶</t>
  </si>
  <si>
    <t xml:space="preserve">1.60系列轻钢主龙骨@900，60系列轻钢副龙骨@400，60系列横撑龙骨@600，08螺纹吊杆@900不上人天花吊顶（投影面计算）
2.玻镁板、双层9.5厚石膏板基层，含开孔、检修口、10*10凹槽等费用；
3.包含完成该项内容所有工作及费用并满足设计图纸、规范等要求；
</t>
  </si>
  <si>
    <t>1、门扇：WD-01木饰面、20*40mm热镀锌矩管、9mm厚玻镁板基层
2、定制成品套装门制安
3、含暗合页、门把手等五金配件
4、包含完成该项内容所有工作及费用并满足设计图纸、规范等要求</t>
  </si>
  <si>
    <t>更衣室</t>
  </si>
  <si>
    <t>墙面湿贴石材ST-07</t>
  </si>
  <si>
    <t>1、墙面湿贴石材ST-07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</si>
  <si>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WP-01墙布</t>
  </si>
  <si>
    <t>1、WP-01墙布，结构胶固定（含不锈钢线条）
2、10mm水泥纤维板
3、包含完成该项内容所有工作及费用并满足设计图纸、规范等要求</t>
  </si>
  <si>
    <t>木饰面平开门</t>
  </si>
  <si>
    <t>1、门扇：WD-01木饰面、20*40mm热镀锌矩管、9mm厚玻镁板基层
2、门套：WD-01木饰面
3、定制成品套装门制安
4、含暗合页、门把手等五金配件
5、包含完成该项内容所有工作及费用并满足设计图纸、规范等要求</t>
  </si>
  <si>
    <t>磨砂玻璃门</t>
  </si>
  <si>
    <t>1、门扇：1.2mm厚 MT-01古铜不锈钢饰面、磨砂玻璃
2、定制成品套装门制安
3、含成品门铰链等五金配件
4、包含完成该项内容所有工作及费用并满足设计图纸、规范等要求</t>
  </si>
  <si>
    <t>洗手台镜柜一体L1750mm</t>
  </si>
  <si>
    <t>1、洗手台镜柜一体（1750mm*700mm*2550mm）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</si>
  <si>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洗手台镜柜一体L1930mm</t>
  </si>
  <si>
    <t>1、洗手台镜柜一体（1930mm*700mm*2550mm）
2.包括但不限于制作安装、钢结构骨架、石材及石材防污处理、10mm水泥纤维板基层、ST-06石材台面、1.2mm厚 MT-01古铜不锈钢饰面、WD-04木饰面、MR-01银镜；
3.含五金配件、相应的线孔洞开设
4.包含完成该项内容所有工作及费用并满足设计图纸、规范等要求</t>
  </si>
  <si>
    <t>更衣柜</t>
  </si>
  <si>
    <t>1、更衣柜（2050mm*600mm*3200mm）
2.包括但不限于制作安装、阻燃板基层、WD-01木饰面
3.含五金配件等
4.包含完成该项内容所有工作及费用并满足设计图纸、规范等要求</t>
  </si>
  <si>
    <t>休息区+过道+电梯厅+艺术过厅</t>
  </si>
  <si>
    <t>墙面湿贴石材ST-03</t>
  </si>
  <si>
    <t>1、墙面湿贴石材ST-03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</si>
  <si>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1、墙面干挂ST-03石材（含不锈钢线条）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</si>
  <si>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墙面干挂ST-03石材（波浪造型）</t>
  </si>
  <si>
    <t>1、墙面干挂ST-03石材（波浪造型，含不锈钢线条）
2、不锈钢背栓挂件安装，云石胶+AB胶固定
3、镀锌角钢钢架(高度超4m、完成面超150mm采用槽钢基层加固)，钢架防锈处理
4、膨胀螺栓固定预埋铁件(轻质砖墙体需要穿墙螺栓固定)
5、石材的开槽、磨边、倒角、粘接、形成所需之凹坑、抛光、六面防污防渗等一切处理费用均在主材费中考虑，不再另行计取
6、包含完成该项内容所有工作及费用并满足设计图纸、规范等要求</t>
  </si>
  <si>
    <t>窗帘盒（120mm*200mm）</t>
  </si>
  <si>
    <t>1.窗帘盒窗帘盒（120mm*200mm）；
2.双层板：9mm玻镁板、9.5厚石膏板；
3.50系列轻钢龙骨及其连接件、吊件；
4.包含完成该项内容所有工作及费用并满足设计图纸、规范等要求；</t>
  </si>
  <si>
    <t>装饰屏风（800mm*100mm*3400mm）</t>
  </si>
  <si>
    <t>1.装饰屏风（800mm*100mm*3400mm）；
2.包括但不限于制作安装、钢结构骨架、阻燃板基层、WD-02木饰面、1.2mm厚 MT-01古铜不锈钢、MT-04手敲铜不锈钢；
3.包含完成该项内容所有工作及费用并满足设计图纸、规范等要求</t>
  </si>
  <si>
    <t>1、水吧柜（Lmm*800mm*900mm）
2.包括但不限于制作安装、钢结构骨架、石材及石材防污处理、阻燃板基层、ST-04石材台面、WD-03木饰面；
3.含合页等五金配件、相应的线孔洞开设
4.包含完成该项内容所有工作及费用并满足设计图纸、规范等要求</t>
  </si>
  <si>
    <t>水吧收纳柜</t>
  </si>
  <si>
    <t>1、收纳柜（940mm*800mm*2600mm）
2.包括但不限于制作安装、阻燃板基层、WD-03木饰面
3.含五金配件等
4.包含完成该项内容所有工作及费用并满足设计图纸、规范等要求</t>
  </si>
  <si>
    <t>新建钢架+玻镁板隔墙</t>
  </si>
  <si>
    <t>1、新建钢架+玻镁板隔墙
2、8#热镀锌竖向槽钢龙骨间距小于0.9米，并要求至结构楼板底生根固定，横向5#角钢龙骨，间距根据砖面尺寸排列，所有的钢骨架均需做防锈处理
3、具体施工做法详见国家相关规范条文
4、包含完成该项内容所有工作及费用并满足设计图纸、规范等要求</t>
  </si>
  <si>
    <t>合计</t>
  </si>
  <si>
    <t>墙面工程</t>
  </si>
  <si>
    <t>墙面湿贴石材ST-04</t>
  </si>
  <si>
    <t>1、墙面湿贴石材ST-04
2、8mm厚石材专用胶粘剂WC粘结层
3、界面剂拉毛处理
4、石材的开槽、磨边、倒角、粘接、形成所需之凹坑、抛光、六面防污防渗等一切处理费用均在主材费中考虑，不再另行计取
5、包含完成该项内容所有工作及费用并满足设计图纸、规范等要求</t>
  </si>
  <si>
    <t>1、1.2mm厚 MT-01古铜不锈钢饰面(结构胶固定)
2、9厘玻镁板基层
3、包含完成该项内容所有工作及费用并满足设计图纸、规范等要求</t>
  </si>
  <si>
    <t>墙面WD-09摩素板</t>
  </si>
  <si>
    <t>1、墙面WD-09摩素板(结构胶固定)
2、12厘玻镁板基层
3、膨胀螺栓、轻钢龙骨(钢结构)基层找平
4、包含完成该项内容所有工作及费用并满足设计图纸、规范等要求</t>
  </si>
  <si>
    <t>MT-01古铜不锈钢踢脚线（高50mm）</t>
  </si>
  <si>
    <t>1、1.2mm厚 MT-01古铜不锈钢踢脚线（高50mm，展开面为67mm），结构胶固定
2、9厘玻镁板基层
3、包含完成该项内容所有工作及费用并满足设计图纸、规范等要求</t>
  </si>
  <si>
    <t>MT-01古铜不锈钢线条（展开面为67mm）</t>
  </si>
  <si>
    <t>1、1.2mm厚 MT-01古铜不锈钢线条（展开面为67mm），结构胶固定
2、9厘玻镁板基层
3、包含完成该项内容所有工作及费用并满足设计图纸、规范等要求</t>
  </si>
  <si>
    <t>MT-01古铜不锈钢线条（展开面为37mm）</t>
  </si>
  <si>
    <t>1、1.2mm厚 MT-01古铜不锈钢线条（展开面为37mm），结构胶固定
2、9厘玻镁板基层
3、包含完成该项内容所有工作及费用并满足设计图纸、规范等要求</t>
  </si>
  <si>
    <t>MT-01古铜不锈钢收口条（展开面为26mm）</t>
  </si>
  <si>
    <t>1、1.2mm厚 MT-01古铜不锈钢收口条（展开面为26mm），结构胶固定
2、9厘玻镁板基层
3、包含完成该项内容所有工作及费用并满足设计图纸、规范等要求</t>
  </si>
  <si>
    <t>灯槽（135mm*100mm）</t>
  </si>
  <si>
    <t>1.灯槽（135mm*100mm）；
2.双层板：9mm玻镁板、9.5厚石膏板；
3.包含完成该项内容所有工作及费用并满足设计图纸、规范等要求；</t>
  </si>
  <si>
    <t>条形空调风口（80mm）</t>
  </si>
  <si>
    <t>1.条形空调风口（80mm）；
2.风口周边阻燃板封边加固处理；
3.包含完成该项内容所有工作及费用并满足设计图纸、规范等要求；</t>
  </si>
  <si>
    <t>MT-06深色不锈钢线条</t>
  </si>
  <si>
    <t>1、MT-06深色不锈钢线条（宽为40mm），结构胶固定
2、9厘玻镁板基层
3、包含完成该项内容所有工作及费用并满足设计图纸、规范等要求</t>
  </si>
  <si>
    <t>电梯扶手</t>
  </si>
  <si>
    <t>1、ST-04石材、古铜不锈钢、UP-01皮革
2、定制成品扶手制安
3、包含完成该项内容所有工作及费用并满足设计图纸、规范等要求</t>
  </si>
  <si>
    <t>无障碍电梯轿厢</t>
  </si>
  <si>
    <t>负一层</t>
  </si>
  <si>
    <t>一单元合用前室</t>
  </si>
  <si>
    <t>MT-01古铜不锈钢线条（展开面为51mm）</t>
  </si>
  <si>
    <t>1、1.2mm厚 MT-01古铜不锈钢线条（展开面为51mm），结构胶固定
2、9厘玻镁板基层
3、包含完成该项内容所有工作及费用并满足设计图纸、规范等要求</t>
  </si>
  <si>
    <t>灯槽（100mm*250mm）</t>
  </si>
  <si>
    <t>1.灯槽（100mm*250mm）；
2.双层板：9mm玻镁板、9.5厚石膏板；
3.包含完成该项内容所有工作及费用并满足设计图纸、规范等要求；</t>
  </si>
  <si>
    <t>二单元合用前室</t>
  </si>
  <si>
    <t>三单元合用前室</t>
  </si>
  <si>
    <t>四单元合用前室</t>
  </si>
  <si>
    <t>负二层</t>
  </si>
  <si>
    <t>负三层</t>
  </si>
  <si>
    <t>工程清单与计价表</t>
  </si>
  <si>
    <t>项目特征描述</t>
  </si>
  <si>
    <t>计量
单位</t>
  </si>
  <si>
    <t>管理费、利润及规费</t>
  </si>
  <si>
    <t>不含税综合单价
（元）</t>
  </si>
  <si>
    <t>不含税合价（元）</t>
  </si>
  <si>
    <t>电气工程</t>
  </si>
  <si>
    <t>（1）会所</t>
  </si>
  <si>
    <t>D13m 可调深藏射灯</t>
  </si>
  <si>
    <t>1.名称:D13m 可调深藏射灯
2.规格：功率：9W、流明量：756lm；63lm/W、色温：3500K、光速角：24°
3.其他:包含完成该项内容所有工作及费用并满足设计图纸、规范等要求</t>
  </si>
  <si>
    <t>D13f 可调深藏射灯</t>
  </si>
  <si>
    <t>1.名称:D13f 可调深藏射灯
2.规格：功率：9W、流明量：594lm；63lm/W、色温：3500K、光速角：36°
3.其他:包含完成该项内容所有工作及费用并满足设计图纸、规范等要求</t>
  </si>
  <si>
    <t>D14m 可调深藏射灯</t>
  </si>
  <si>
    <t>1.名称:D14m 可调深藏射灯
2.规格：功率：12W、流明量：756lm；63lm/W、色温：3500K、光速角：24°
3.其他:包含完成该项内容所有工作及费用并满足设计图纸、规范等要求</t>
  </si>
  <si>
    <t>D14f 可调深藏射灯</t>
  </si>
  <si>
    <t>1.名称:D14f 可调深藏射灯
2.规格：功率：12W、流明量：792lm；66lm/W、色温：3500K、光速角：36°
3.其他:包含完成该项内容所有工作及费用并满足设计图纸、规范等要求</t>
  </si>
  <si>
    <t>D15m 可调深藏射灯</t>
  </si>
  <si>
    <t>1.名称:D15m 可调深藏射灯
2.规格：功率：15W、流明量：951lm；65lm/W、色温：3500K、光速角：24°
3.其他:包含完成该项内容所有工作及费用并满足设计图纸、规范等要求</t>
  </si>
  <si>
    <t>D15f 可调深藏射灯</t>
  </si>
  <si>
    <t>1.名称:D15f 可调深藏射灯
2.规格：功率：15W、流明量：970lm；67lm/W、色温：3500K、光速角：36°
3.其他:包含完成该项内容所有工作及费用并满足设计图纸、规范等要求</t>
  </si>
  <si>
    <t>D17m 可调深藏射灯</t>
  </si>
  <si>
    <t>1.名称:D17m 可调深藏射灯
2.规格：功率：24W、流明量：1802lm；77lm/W、色温：3500K、光速角：24°
3.其他:包含完成该项内容所有工作及费用并满足设计图纸、规范等要求</t>
  </si>
  <si>
    <t>Gs15f 方形下照深藏射灯</t>
  </si>
  <si>
    <t>1.名称:Gs15f 方形下照深藏射灯
2.规格：功率：9W、流明量：603lm；67lm/W、色温：3500K、光速角：36°
3.其他:包含完成该项内容所有工作及费用并满足设计图纸、规范等要求</t>
  </si>
  <si>
    <t>Mr15n 下照迷你格栅灯</t>
  </si>
  <si>
    <t>1.名称:Mr15n 下照迷你格栅灯
2.规格：功率：10*2W、流明量：1400lm；70lm/W、色温：3500K、光速角：15°
3.其他:包含完成该项内容所有工作及费用并满足设计图纸、规范等要求</t>
  </si>
  <si>
    <t>Mr15m 下照迷你格栅灯</t>
  </si>
  <si>
    <t>1.名称:Mr15m 下照迷你格栅灯
2.规格：功率：10*2W、流明量：1360lm；68lm/W、色温：3500K、光速角：24°
3.其他:包含完成该项内容所有工作及费用并满足设计图纸、规范等要求</t>
  </si>
  <si>
    <t>Mr15f 下照迷你格栅灯</t>
  </si>
  <si>
    <t>1.名称:Mr15f 下照迷你格栅灯
2.规格：功率：10*2W、流明量：1360lm；68lm/W、色温：3500K、光速角：36°
3.其他:包含完成该项内容所有工作及费用并满足设计图纸、规范等要求</t>
  </si>
  <si>
    <t>Md15m 可调迷你格栅灯</t>
  </si>
  <si>
    <t>1.名称:Md15m 可调迷你格栅灯
2.规格：功率：10*2W、流明量：1360lm；68lm/W、色温：3500K、光速角：36°
3.其他:包含完成该项内容所有工作及费用并满足设计图纸、规范等要求</t>
  </si>
  <si>
    <t>Ug10 可调深藏射灯</t>
  </si>
  <si>
    <t>1.名称:Ug10 可调深藏射灯
2.规格：功率：3W、流明量：139lm；48lm/W、色温：3500K、光速角：24°
3.其他:包含完成该项内容所有工作及费用并满足设计图纸、规范等要求</t>
  </si>
  <si>
    <t>Ug11 埋地灯</t>
  </si>
  <si>
    <t>1.名称:Ug11 埋地灯
2.规格：功率：8W、流明量：600lm；75lm/W、色温：3500K、光速角：20°
3.其他:包含完成该项内容所有工作及费用并满足设计图纸、规范等要求</t>
  </si>
  <si>
    <t>P1 LED吸顶灯</t>
  </si>
  <si>
    <t>1.名称:P1 LED吸顶灯
2.规格：功率：18W、流明量：1350lm；70lm/W、色温：3500K
3.其他:包含完成该项内容所有工作及费用并满足设计图纸、规范等要求</t>
  </si>
  <si>
    <t>Da34m 可调深藏射灯</t>
  </si>
  <si>
    <t>1.名称:Da34m 可调深藏射灯
2.规格：功率：9W、流明量：485lm；53lm/W、色温：3000K、光速角：15°
3.其他:包含完成该项内容所有工作及费用并满足设计图纸、规范等要求</t>
  </si>
  <si>
    <t>D34m 可调深藏射灯</t>
  </si>
  <si>
    <t>1.名称:D34m 可调深藏射灯
2.规格：功率：9W、流明量：550lm；60lm/W、色温：3000K、光速角：24°
3.其他:包含完成该项内容所有工作及费用并满足设计图纸、规范等要求</t>
  </si>
  <si>
    <t>D34f 可调深藏射灯</t>
  </si>
  <si>
    <t>1.名称:D34f 可调深藏射灯
2.规格：功率：9W、流明量：550lm；60lm/W、色温：3000K、光速角：36°
3.其他:包含完成该项内容所有工作及费用并满足设计图纸、规范等要求</t>
  </si>
  <si>
    <t>D35m 可调深藏射灯</t>
  </si>
  <si>
    <t>1.名称:D35m 可调深藏射灯
2.规格：功率：15W、流明量：994lm；68lm/W、色温：3000K、光速角：24°
3.其他:包含完成该项内容所有工作及费用并满足设计图纸、规范等要求</t>
  </si>
  <si>
    <t>D35f 可调深藏射灯</t>
  </si>
  <si>
    <t>1.名称:D35f 可调深藏射灯
2.规格：功率：15W、流明量：1003lm；69lm/W、色温：3000K、光速角：36°
3.其他:包含完成该项内容所有工作及费用并满足设计图纸、规范等要求</t>
  </si>
  <si>
    <t>Mr35m 下照迷你格栅灯</t>
  </si>
  <si>
    <t>1.名称:Mr35m 下照迷你格栅灯
2.规格：功率：10*2W、流明量：1260lm；63lm/W、色温：3000K、光速角：24°
3.其他:包含完成该项内容所有工作及费用并满足设计图纸、规范等要求</t>
  </si>
  <si>
    <t>Md35m 可调迷你格栅灯（黑色）</t>
  </si>
  <si>
    <t>1.名称:Md35m 可调迷你格栅灯（黑色）
2.规格：功率：10*2W、流明量：1360lm；68lm/W、色温：3000K、光速角：36°
3.其他:包含完成该项内容所有工作及费用并满足设计图纸、规范等要求</t>
  </si>
  <si>
    <t>Wi12 线性洗墙灯</t>
  </si>
  <si>
    <t>1.名称:Wi12 线性洗墙灯
2.规格：功率：26W/M、流明量：1845lm/M、色温：3500K、光速角：20°
3.含外置电源驱动
4.其他:包含完成该项内容所有工作及费用并满足设计图纸、规范等要求</t>
  </si>
  <si>
    <t>Rm10 LED透光模组灯</t>
  </si>
  <si>
    <t>1.名称:Rm10 LED透光模组灯
2.规格：功率：80W、流明量：5500lm；80lm/W、色温：3500K、光速角：170°
3.含外置电源驱动
4.其他:包含完成该项内容所有工作及费用并满足设计图纸、规范等要求</t>
  </si>
  <si>
    <t>Rm10D LED透光模组灯（调光）</t>
  </si>
  <si>
    <t>1.名称:Rm10D LED透光模组灯（调光）
2.规格：功率：80W、流明量：5500lm；80lm/W、色温：2700K-6500K、光速角：170°
3.含外置电源驱动
4.其他:包含完成该项内容所有工作及费用并满足设计图纸、规范等要求</t>
  </si>
  <si>
    <t>Ls12-LED硬灯条</t>
  </si>
  <si>
    <t>1.名称:Ls12-LED硬灯条
2.规格：功率：14W/M、流明量：1260lm/M；90lm/W、色温：3500K、光速角：120°
3.含外置电源驱动
4.其他:包含完成该项内容所有工作及费用并满足设计图纸、规范等要求</t>
  </si>
  <si>
    <t>Lc10-LED侧弯灯带</t>
  </si>
  <si>
    <t>1.名称:Lc10-LED侧弯灯带
2.规格：功率：4W/M、流明量：320lm/M；80lm/W、色温：3500K、光速角：120°
3.含外置电源驱动
4.其他:包含完成该项内容所有工作及费用并满足设计图纸、规范等要求</t>
  </si>
  <si>
    <t>Lc12-LED侧弯灯带</t>
  </si>
  <si>
    <t>1.名称:Lc12-LED侧弯灯带
2.规格：功率：14W/M、流明量：1260lm/M；90lm/W、色温：3500K、光速角：120°
3.含外置电源驱动
4.其他:包含完成该项内容所有工作及费用并满足设计图纸、规范等要求</t>
  </si>
  <si>
    <t>Lc12a-LED20mm宽侧弯灯带</t>
  </si>
  <si>
    <t>1.名称:Lc12a-LED20mm宽侧弯灯带
2.规格：功率：14W/M、流明量：1260lm/M；90lm/W、色温：3500K、光速角：120°
3.含外置电源驱动
4.其他:包含完成该项内容所有工作及费用并满足设计图纸、规范等要求</t>
  </si>
  <si>
    <t>Lr12-LED正弯灯带</t>
  </si>
  <si>
    <t>1.名称:Lr12-LED正弯灯带
2.规格：功率：14W/M、流明量：1260lm/M；90lm/W、色温：3500K、光速角：120°
3.含外置电源驱动
4.其他:包含完成该项内容所有工作及费用并满足设计图纸、规范等要求</t>
  </si>
  <si>
    <t>Lb10-LED地埋洗墙灯</t>
  </si>
  <si>
    <t>1.名称:Lb10-LED地埋洗墙灯
2.规格：功率：20W/M、流明量：90lm/W、色温：3500K、光速角：50°
3.含外置电源驱动
4.其他:包含完成该项内容所有工作及费用并满足设计图纸、规范等要求</t>
  </si>
  <si>
    <t>Lb13-LED地埋洗墙灯</t>
  </si>
  <si>
    <t>1.名称:Lb13-LED地埋洗墙灯
2.规格：功率：20W/M、流明量：90lm/W、色温：3500K、光速角：30°
3.含外置电源驱动
4.其他:包含完成该项内容所有工作及费用并满足设计图纸、规范等要求</t>
  </si>
  <si>
    <t>Ls32-LED硬灯条</t>
  </si>
  <si>
    <t>1.名称:Ls32-LED硬灯条
2.规格：功率：14W/M、流明量：1260lm/M；90lm/W、色温：3000K、光速角：120°
3.含外置电源驱动
4.其他:包含完成该项内容所有工作及费用并满足设计图纸、规范等要求</t>
  </si>
  <si>
    <t>Lc32-ED侧弯灯带</t>
  </si>
  <si>
    <t>1.名称:Lc32-ED侧弯灯带
2.规格：功率：14W/M、流明量：1260lm/M；90lm/W、色温：3000K、光速角：120°
3.含外置电源驱动
4.其他:包含完成该项内容所有工作及费用并满足设计图纸、规范等要求</t>
  </si>
  <si>
    <t>Lb1-拉绳灯</t>
  </si>
  <si>
    <t>1.名称:Lb1-拉绳灯
2.规格：功率：10W/M、色温：3500K、光速角：120°
3.其他:包含完成该项内容所有工作及费用并满足设计图纸、规范等要求</t>
  </si>
  <si>
    <t>单联单控暗开关</t>
  </si>
  <si>
    <t>1.名称：单联单控暗开关
2.规格：86*86mm 颜色：曜岩灰
3.其他：包含完成该项内容所有工作及费用并满足设计图纸、规范等要求;</t>
  </si>
  <si>
    <t>个</t>
  </si>
  <si>
    <t>双联单控暗开关</t>
  </si>
  <si>
    <t>1.名称：双联单控暗开关
2.规格：86*86mm 颜色：曜岩灰
3.其他：包含完成该项内容所有工作及费用并满足设计图纸、规范等要求;</t>
  </si>
  <si>
    <t>三联单控暗开关</t>
  </si>
  <si>
    <t>1.名称：三联单控暗开关
2.规格：86*86mm 颜色：曜岩灰
3.其他：包含完成该项内容所有工作及费用并满足设计图纸、规范等要求;</t>
  </si>
  <si>
    <t>五孔插座</t>
  </si>
  <si>
    <t>1.名称：五孔插座
2.规格：86*86mm 颜色：曜岩灰
3.其他：包含完成该项内容所有工作及费用并满足设计图纸、规范等要求;</t>
  </si>
  <si>
    <t>五孔地面插座</t>
  </si>
  <si>
    <t>1.名称：五孔地面插座
2.规格：86*86mm 颜色：曜岩灰
3.其他：包含完成该项内容所有工作及费用并满足设计图纸、规范等要求;</t>
  </si>
  <si>
    <t>五孔防溅插座</t>
  </si>
  <si>
    <t>1.名称：五孔防溅插座
2.规格：86*86mm 颜色：曜岩灰
3.其他：包含完成该项内容所有工作及费用并满足设计图纸、规范等要求;</t>
  </si>
  <si>
    <t>接线盒</t>
  </si>
  <si>
    <t>1.名称：接线盒
2.包含完成该项内容所有工作及费用并满足设计图纸、规范等要求;</t>
  </si>
  <si>
    <t>金属桥架 200*100</t>
  </si>
  <si>
    <t>1.型号、规格:金属桥架（含配件）
2.材质:200*100
3.其他:包含桥架支架制作、安装、除锈、刷油
4.其他:含配件及盖板、线槽接地
5.主材厚度：满足设计及规范要求</t>
  </si>
  <si>
    <t>不锈钢线槽 500*200</t>
  </si>
  <si>
    <t>1.型号、规格:不锈钢线槽（含配件）
2.材质:500*200
3.其他:包含桥架支架制作、安装、除锈、刷油
4.其他:含配件及盖板、线槽接地
5.主材厚度：满足设计及规范要求</t>
  </si>
  <si>
    <t>管内穿线 WDZC-BYJ-2.5</t>
  </si>
  <si>
    <t>1.名称：电线
2.型号规格：WDZC-BYJ-2.5
3.配线形式：管内穿线
4.包含接线端子
5.其他：为满足本清单工作所需的其他未描述的工作内容，详见相关规范、招标文件及图纸要求</t>
  </si>
  <si>
    <t>管内穿线 WDZC-BYJ-4</t>
  </si>
  <si>
    <t>1.名称：电线
2.型号规格：WDZC-BYJ-4
3.配线形式：管内穿线
4.包含接线端子
5.其他：为满足本清单工作所需的其他未描述的工作内容，详见相关规范、招标文件及图纸要求</t>
  </si>
  <si>
    <t>管内穿线 WDZC-BYJ-6</t>
  </si>
  <si>
    <t>1.名称：电线
2.型号规格：WDZC-BYJ-6
3.配线形式：管内穿线
4.包含接线端子
5.其他：为满足本清单工作所需的其他未描述的工作内容，详见相关规范、招标文件及图纸要求</t>
  </si>
  <si>
    <t>管内穿线 WDZC-BYJ-10</t>
  </si>
  <si>
    <t>1.名称：电线
2.型号规格：WDZC-BYJ-10
3.配线形式：管内穿线
4.包含接线端子
5.其他：为满足本清单工作所需的其他未描述的工作内容，详见相关规范、招标文件及图纸要求</t>
  </si>
  <si>
    <t>管内穿线 WDZC-BYJ-16</t>
  </si>
  <si>
    <t>1.名称：电线
2.型号规格：WDZC-BYJ-16
3.配线形式：管内穿线
4.包含接线端子
5.其他：为满足本清单工作所需的其他未描述的工作内容，详见相关规范、招标文件及图纸要求</t>
  </si>
  <si>
    <t>线槽配线 WDZC-BYJ-2.5</t>
  </si>
  <si>
    <t>1.名称：电线
2.型号规格：WDZC-BYJ-2.5
3.配线形式：线槽配线
4.包含接线端子
5.其他：为满足本清单工作所需的其他未描述的工作内容，详见相关规范、招标文件及图纸要求</t>
  </si>
  <si>
    <t>线槽配线 WDZC-BYJ-4</t>
  </si>
  <si>
    <t>1.名称：电线
2.型号规格：WDZC-BYJ-4
3.配线形式：线槽配线
4.包含接线端子
5.其他：为满足本清单工作所需的其他未描述的工作内容，详见相关规范、招标文件及图纸要求</t>
  </si>
  <si>
    <t>线槽配线 WDZC-BYJ-6</t>
  </si>
  <si>
    <t>1.名称：电线
2.型号规格：WDZC-BYJ-6
3.配线形式：线槽配线
4.包含接线端子
5.其他：为满足本清单工作所需的其他未描述的工作内容，详见相关规范、招标文件及图纸要求</t>
  </si>
  <si>
    <t>线槽配线 WDZC-BYJ-10</t>
  </si>
  <si>
    <t>1.名称：电线
2.型号规格：WDZC-BYJ-10
3.配线形式：线槽配线
4.包含接线端子
5.其他：为满足本清单工作所需的其他未描述的工作内容，详见相关规范、招标文件及图纸要求</t>
  </si>
  <si>
    <t>线槽配线 WDZC-BYJ-16</t>
  </si>
  <si>
    <t>1.名称：电线
2.型号规格：WDZC-BYJ-16
3.配线形式：线槽配线
4.包含接线端子
5.其他：为满足本清单工作所需的其他未描述的工作内容，详见相关规范、招标文件及图纸要求</t>
  </si>
  <si>
    <t>电力电缆 WDZC-YJY-4*25+1*16</t>
  </si>
  <si>
    <t>1.型号:电力电缆 5芯内
2.规格:WDZC-YJY-4*25+1*16
3.敷设方式:线槽及管内
4.其他:含电缆头制作安装（电缆头形式综合考虑）</t>
  </si>
  <si>
    <t>明配管 JDG20</t>
  </si>
  <si>
    <t>1.材质：镀锌电线管
2.规格：JDG20 明配
3.其他：为满足本清单工作所需的其他未描述的工作内容，详见相关规范、招标文件及图纸要求</t>
  </si>
  <si>
    <t>明配管 JDG25</t>
  </si>
  <si>
    <t>1.材质：镀锌电线管
2.规格：JDG25 明配
3.其他：为满足本清单工作所需的其他未描述的工作内容，详见相关规范、招标文件及图纸要求</t>
  </si>
  <si>
    <t>明配管 JDG32</t>
  </si>
  <si>
    <t>1.材质：镀锌电线管
2.规格：JDG32 明配
3.其他：为满足本清单工作所需的其他未描述的工作内容，详见相关规范、招标文件及图纸要求</t>
  </si>
  <si>
    <t>明配管 JDG40</t>
  </si>
  <si>
    <t>1.材质：镀锌电线管
2.规格：JDG40 明配
3.其他：为满足本清单工作所需的其他未描述的工作内容，详见相关规范、招标文件及图纸要求</t>
  </si>
  <si>
    <t>明配管 SC50</t>
  </si>
  <si>
    <t>1.材质：镀锌钢管
2.规格：SC50 明配
3.其他：为满足本清单工作所需的其他未描述的工作内容，详见相关规范、招标文件及图纸要求</t>
  </si>
  <si>
    <t>暗配管 PC20</t>
  </si>
  <si>
    <t>1.名称:刚性阻燃管
2.材质:塑料
3.规格:PC20
4.配置形式:暗配</t>
  </si>
  <si>
    <t>暗配管 PC25</t>
  </si>
  <si>
    <t>1.名称:刚性阻燃管
2.材质:塑料
3.规格:PC25
4.配置形式:暗配</t>
  </si>
  <si>
    <t>金属软管 DN20</t>
  </si>
  <si>
    <t>1.材质：金属软管
2.规格：DN20
3.其他：为满足本清单工作所需的其他未描述的工作内容，详见相关规范、招标文件及图纸要求</t>
  </si>
  <si>
    <t>砖墙凿槽及修复</t>
  </si>
  <si>
    <t>1.名称:凿槽及修补
2.规格:70mm×70mm
3.类型:砖结构
4.填充(恢复)方式:水泥砂浆修补</t>
  </si>
  <si>
    <t>混凝土凿槽及修复</t>
  </si>
  <si>
    <t>1.名称:凿槽及修补
2.规格:70mm×70mm
3.类型:混凝土结构
4.填充(恢复)方式:水泥砂浆修补</t>
  </si>
  <si>
    <t>热水器 200L</t>
  </si>
  <si>
    <t>1.名称：热水器 200L
2.规格：200L 600*640*1691mm
3.热水器安装，包括角阀、不锈钢软管等所需材料
4.其他:包含完成该项内容所有工作及费用并满足设计图纸、规范等要求</t>
  </si>
  <si>
    <t>小厨宝</t>
  </si>
  <si>
    <t>1.名称：小厨宝
2.小厨宝安装，包括角阀、不锈钢软管等所需材料
3.包含完成该项内容所有工作及费用并满足设计图纸、规范等要求</t>
  </si>
  <si>
    <t>冰箱</t>
  </si>
  <si>
    <t>1.名称：冰箱
2.包含完成该项内容所有工作及费用并满足设计图纸、规范等要求</t>
  </si>
  <si>
    <t>自助售卖机</t>
  </si>
  <si>
    <t>1.名称：自助售卖机
2.规格：750*780*1830
3.包含完成该项内容所有工作及费用并满足设计图纸、规范等要求</t>
  </si>
  <si>
    <t>（2）标准层电梯厅</t>
  </si>
  <si>
    <t>（3）地下室大堂</t>
  </si>
  <si>
    <t>（4）电梯轿厢</t>
  </si>
  <si>
    <t>给排水工程</t>
  </si>
  <si>
    <t>1</t>
  </si>
  <si>
    <t>厨用单盆水槽</t>
  </si>
  <si>
    <t>1.名称：厨用单盆水槽
2.水槽安装
3.包含完成该项内容所有工作及费用并满足设计图纸、规范等要求</t>
  </si>
  <si>
    <t>厨用龙头</t>
  </si>
  <si>
    <t>1.名称：厨用龙头
2.龙头安装，包括角阀、不锈钢软管、下水管等所需材料
3.包含完成该项内容所有工作及费用并满足设计图纸、规范等要求</t>
  </si>
  <si>
    <t>台下盆</t>
  </si>
  <si>
    <t>1.名称：台下盆
2.台盆安装
3.包含完成该项内容所有工作及费用并满足设计图纸、规范等要求</t>
  </si>
  <si>
    <t>台盆龙头</t>
  </si>
  <si>
    <t>1.名称：台盆龙头
2.台盆龙头安装，包括角阀、不锈钢软管、下水管等所需材料
3.包含完成该项内容所有工作及费用并满足设计图纸、规范等要求</t>
  </si>
  <si>
    <t>智能马桶</t>
  </si>
  <si>
    <t>1.名称：智能马桶
2.智能马桶安装，包括角阀、不锈钢软管、马桶橡胶圈等所需材料
3.包含完成该项内容所有工作及费用并满足设计图纸、规范等要求</t>
  </si>
  <si>
    <t>连体蹲便器</t>
  </si>
  <si>
    <t>1.名称：连体蹲便器
2.蹲便器、水箱安装，包括角阀、不锈钢软管、等所需材料
3.包含完成该项内容所有工作及费用并满足设计图纸、规范等要求</t>
  </si>
  <si>
    <t>感应一体挂式小便器</t>
  </si>
  <si>
    <t>1.名称：感应一体挂式小便器
2.小便器、感应开关安装及其他一切等所需材料
3.包含完成该项内容所有工作及费用并满足设计图纸、规范等要求</t>
  </si>
  <si>
    <t>拖把池</t>
  </si>
  <si>
    <t>1.名称：拖把池
2.拖把池安装
3.包含完成该项内容所有工作及费用并满足设计图纸、规范等要求</t>
  </si>
  <si>
    <t>用水咀龙头</t>
  </si>
  <si>
    <t>1.名称：用水咀龙头
2.拖把池安装
3.包含完成该项内容所有工作及费用并满足设计图纸、规范等要求</t>
  </si>
  <si>
    <t>淋浴器</t>
  </si>
  <si>
    <t>1.名称：淋浴器
2.淋浴器安装
3.包含完成该项内容所有工作及费用并满足设计图纸、规范等要求</t>
  </si>
  <si>
    <t>地漏</t>
  </si>
  <si>
    <t>1.名称：地漏
2.地漏安装
3.包含完成该项内容所有工作及费用并满足设计图纸、规范等要求</t>
  </si>
  <si>
    <t>三层会所卫生间台下盆</t>
  </si>
  <si>
    <t>1.名称：三层会所卫生间台下盆
2.台盆安装
3.包含完成该项内容所有工作及费用并满足设计图纸、规范等要求</t>
  </si>
  <si>
    <t>冷水管PPR-DN15</t>
  </si>
  <si>
    <t>1.安装部位：室内
2.规格：DN15
3.材质：冷水用PPR(S4系列）
4.连接形式：热熔连接
5.压力试验及吹、洗设计要求：管道冲洗、消毒</t>
  </si>
  <si>
    <t>冷水管PPR-DN20</t>
  </si>
  <si>
    <t>1.安装部位：室内
2.规格：DN20
3.材质：冷水用PPR(S4系列）
4.连接形式：热熔连接
5.压力试验及吹、洗设计要求：管道冲洗、消毒</t>
  </si>
  <si>
    <t>冷水管PPR-DN25</t>
  </si>
  <si>
    <t>1.安装部位：室内
2.规格：DN25
3.材质：冷水用PPR(S4系列）
4.连接形式：热熔连接
5.压力试验及吹、洗设计要求：管道冲洗、消毒</t>
  </si>
  <si>
    <t>冷水管PPR-DN32</t>
  </si>
  <si>
    <t>1.安装部位：室内
2.规格：DN32
3.材质：冷水用PPR(S4系列）
4.连接形式：热熔连接
5.压力试验及吹、洗设计要求：管道冲洗、消毒</t>
  </si>
  <si>
    <t>冷水管PPR-DN50</t>
  </si>
  <si>
    <t>1.安装部位：室内
2.规格：DN50
3.材质：冷水用PPR(S4系列）
4.连接形式：热熔连接
5.压力试验及吹、洗设计要求：管道冲洗、消毒</t>
  </si>
  <si>
    <t>热水管PPR-DN15</t>
  </si>
  <si>
    <t>1.安装部位：室内
2.规格：DN15
3.材质：热水用PPR(S3.2系列）
4.连接形式：热熔连接
5.压力试验及吹、洗设计要求：管道冲洗、消毒</t>
  </si>
  <si>
    <t>热水管PPR-DN20</t>
  </si>
  <si>
    <t>1.安装部位：室内
2.规格：DN20
3.材质：热水用PPR(S3.2系列）
4.连接形式：热熔连接
5.压力试验及吹、洗设计要求：管道冲洗、消毒</t>
  </si>
  <si>
    <t>热水管PPR-DN25</t>
  </si>
  <si>
    <t>1.安装部位：室内
2.规格：DN25
3.材质：热水用PPR(S3.2系列）
4.连接形式：热熔连接
5.压力试验及吹、洗设计要求：管道冲洗、消毒</t>
  </si>
  <si>
    <t>UPVC排水管-DN50</t>
  </si>
  <si>
    <t>1.安装部位：室内
2.规格：DN50
3.材质：UPVC排水管
4.连接形式:粘接连接</t>
  </si>
  <si>
    <t>UPVC排水管-DN75</t>
  </si>
  <si>
    <t>1.安装部位：室内
2.规格：DN75
3.材质：UPVC排水管
5.连接形式:粘接连接</t>
  </si>
  <si>
    <t>UPVC排水管-DN100</t>
  </si>
  <si>
    <t>1.安装部位：室内
2.规格：DN100
3.材质：UPVC排水管
6.连接形式:粘接连接</t>
  </si>
  <si>
    <t>闸阀 DN50</t>
  </si>
  <si>
    <t>1.名称：闸阀
2.规格：DN50
3.材质：铸铁
6.连接形式:螺纹连接</t>
  </si>
  <si>
    <t>消防工程</t>
  </si>
  <si>
    <t>（1）消防水工程</t>
  </si>
  <si>
    <t>喷淋头</t>
  </si>
  <si>
    <t>1．名称：喷淋头
2.规格：DN15
3.其他</t>
  </si>
  <si>
    <t>热浸镀锌钢管 DN25</t>
  </si>
  <si>
    <t>1．安装部位：室内
2．材质、规格：热镀锌钢管DN25
3．连接形式：螺纹连接
4．钢管镀锌设计要求：内外热镀锌
5．压力试验及冲洗设计要求：水压试验，水冲洗</t>
  </si>
  <si>
    <t>热浸镀锌钢管 DN32</t>
  </si>
  <si>
    <t>1．安装部位：室内
2．材质、规格：热镀锌钢管DN32
3．连接形式：螺纹连接
4．钢管镀锌设计要求：内外热镀锌
5．压力试验及冲洗设计要求：水压试验，水冲洗</t>
  </si>
  <si>
    <t>热浸镀锌钢管 DN40</t>
  </si>
  <si>
    <t>1．安装部位：室内
2．材质、规格：热镀锌钢管DN40
3．连接形式：螺纹连接
4．钢管镀锌设计要求：内外热镀锌
5．压力试验及冲洗设计要求：水压试验，水冲洗</t>
  </si>
  <si>
    <t>热浸镀锌钢管 DN50</t>
  </si>
  <si>
    <t>1．安装部位：室内
2．材质、规格：热镀锌钢管DN50
3．连接形式：螺纹连接
4．钢管镀锌设计要求：内外热镀锌
5．压力试验及冲洗设计要求：水压试验，水冲洗</t>
  </si>
  <si>
    <t>热浸镀锌钢管 DN65</t>
  </si>
  <si>
    <t>1．安装部位：室内
2．材质、规格：热镀锌钢管DN65
3．连接形式：螺纹连接
4．钢管镀锌设计要求：内外热镀锌
5．压力试验及冲洗设计要求：水压试验，水冲洗</t>
  </si>
  <si>
    <t>热浸镀锌钢管 DN80</t>
  </si>
  <si>
    <t>1．安装部位：室内
2．材质、规格：热镀锌钢管D80
3．连接形式：螺纹连接
4．钢管镀锌设计要求：内外热镀锌
5．压力试验及冲洗设计要求：水压试验，水冲洗</t>
  </si>
  <si>
    <t>热浸镀锌钢管 DN100</t>
  </si>
  <si>
    <t>1．安装部位：室内
2．材质、规格：热镀锌钢管DN100
3．连接形式：螺纹连接
4．钢管镀锌设计要求：内外热镀锌
5．压力试验及冲洗设计要求：水压试验，水冲洗</t>
  </si>
  <si>
    <t>热浸镀锌钢管 DN150</t>
  </si>
  <si>
    <t>1．安装部位：室内
2．材质、规格：热镀锌钢管DN150
3．连接形式：螺纹连接
4．钢管镀锌设计要求：内外热镀锌
5．压力试验及冲洗设计要求：水压试验，水冲洗</t>
  </si>
  <si>
    <t>（2）消防电工程</t>
  </si>
  <si>
    <t>感烟火灾探测器</t>
  </si>
  <si>
    <t>1.名称：感烟探测器
2.安装：吸顶安装</t>
  </si>
  <si>
    <t>火灾应急广播扬声器</t>
  </si>
  <si>
    <t>1.名称：火灾应急广播扬声器
2.包含完成该项内容所有工作及费用并满足设计图纸、规范等要求</t>
  </si>
  <si>
    <t>火灾声光报警器</t>
  </si>
  <si>
    <t>1.名称：声光报警器
2.包含完成该项内容所有工作及费用并满足设计图纸、规范等要求</t>
  </si>
  <si>
    <t>手动火灾报警按钮（带消防电话插孔）</t>
  </si>
  <si>
    <t>1.名称：带电话插孔手动报警按钮
2.安装：壁装
3.类型：智能型
4.包含完成该项内容所有工作及费用并满足设计图纸、规范等要求</t>
  </si>
  <si>
    <t>智能型消火栓箱按钮</t>
  </si>
  <si>
    <t>1.名称：消火栓按钮
2.安装：消火栓箱内安装
3.类型：智能型</t>
  </si>
  <si>
    <t>火灾显示盘</t>
  </si>
  <si>
    <t>1.名称：火灾显示盘
2.包含完成该项内容所有工作及费用并满足设计图纸、规范等要求</t>
  </si>
  <si>
    <t>区域型火灾报警控制器</t>
  </si>
  <si>
    <t>1.名称：区域型火灾报警控制器
2.包含完成该项内容所有工作及费用并满足设计图纸、规范等要求</t>
  </si>
  <si>
    <t>消防应急广播线WDZN-RYS-B2-2X2.5mm2</t>
  </si>
  <si>
    <t>1.名称：消防应急广播线
2.型号、规格：WDZN-RYS-B2-2X2.5mm2
3.配线部位：管内敷设</t>
  </si>
  <si>
    <t>报警信号二线WDZN-RYS-B2-2X2.5mm2</t>
  </si>
  <si>
    <t>1.名称：报警信号总线
2.型号、规格：WDZN-RYS-B2-2X2.5mm2
3.配线部位：管内敷设</t>
  </si>
  <si>
    <t>消防专用电话线WDZN-RYSP-B2-2X2.5mm2</t>
  </si>
  <si>
    <t>1.名称：消防专用电话线
2.型号、规格：WDZN-RYSP-B2-2X2.5mm2
3.配线部位：管内敷设</t>
  </si>
  <si>
    <t>配管JDG20</t>
  </si>
  <si>
    <t>1.名称：电线保护管
2.材质：
3.规格：JDG20</t>
  </si>
  <si>
    <t>空调工程</t>
  </si>
  <si>
    <t>（1）空调风工程</t>
  </si>
  <si>
    <t>多联外机-SWJ-250</t>
  </si>
  <si>
    <t>1.名称：多联外机-SWJ-250
2.规格型号：设备制冷量：26(KW)；设备制热量：28.5(KW)；设备额定风量：10200M3/H;额定功率:7.1(KW)
3.含基础、减震器
4.本体安装</t>
  </si>
  <si>
    <t>多联外机-SWJ-280</t>
  </si>
  <si>
    <t>1.名称：多联外机-SWJ-280
2.规格型号：设备制冷量：28.5(KW)；设备制热量：31.5(KW)；设备额定风量：10800M3/H;额定功率:8.8(KW)
3.含基础、减震器
4.本体安装</t>
  </si>
  <si>
    <t>多联外机-SWJ-335</t>
  </si>
  <si>
    <t>1.名称：多联外机-SWJ-335
2.规格型号：设备制冷量：33.5(KW)；设备制热量：36(KW)；设备额定风量：10500M3/H;额定功率:9.5
(KW)
3.含基础、减震器
4.本体安装</t>
  </si>
  <si>
    <t>多联外机-SWJ-615</t>
  </si>
  <si>
    <t>1.名称：多联外机-SWJ-615
2.规格型号：设备制冷量：61.5(KW)；设备制热量：69(KW)；设备额定风量：16500M3/H;额定功率:8.8(KW)
3.含基础、减震器
4.本体安装</t>
  </si>
  <si>
    <t>风管机-SNJ-10</t>
  </si>
  <si>
    <t>1.名称：风管机-SNJ-10
2.规格型号：设备制冷量：10(KW)；设备制热量：11.2;(KW)；设备额定风量：1450~780M3/H;额定功率:0.135
(KW)
3.设备支架制作、安装，手工除锈，刷红丹防锈漆2遍、调和漆2遍
4.本体安装</t>
  </si>
  <si>
    <t>风管机-SNJ-112</t>
  </si>
  <si>
    <t>1.名称：风管机-SNJ-112
2.规格型号：设备制冷量：11.2(KW)；设备制热量：12.5(KW)；设备额定风量：1450~750M3/H;额定功率:0.135
(KW)
3.设备支架制作、安装，手工除锈，刷红丹防锈漆2遍、调和漆2遍
4.本体安装</t>
  </si>
  <si>
    <t>风管机-SNJ-22</t>
  </si>
  <si>
    <t>1.名称：风管机-SNJ-22
2.规格型号：设备制冷量：2.2(KW)；设备制热量：2.5(KW)；设备额定风量：450~200M3/H;额定功率:0.025
(KW)
3.设备支架制作、安装，手工除锈，刷红丹防锈漆2遍、调和漆2遍
4.本体安装</t>
  </si>
  <si>
    <t>风管机-SNJ-28</t>
  </si>
  <si>
    <t>1.名称：风管机-SNJ-28
2.规格型号：设备制冷量：2.8(KW)；设备制热量：3.2(KW)；设备额定风量：450~200M3/H;额定功率:0.025
(KW)
3.设备支架制作、安装，手工除锈，刷红丹防锈漆2遍、调和漆2遍
4.本体安装</t>
  </si>
  <si>
    <t>风管机-SNJ-32</t>
  </si>
  <si>
    <t>1.名称：风管机-SNJ-32
2.规格型号：设备制冷量：3.2(KW)；设备制热量：3.6(KW)；设备额定风量：550~240M3/H;额定功率:0.03KW)
3.设备支架制作、安装，手工除锈，刷红丹防锈漆2遍、调和漆2遍
4.本体安装</t>
  </si>
  <si>
    <t>风管机-SNJ-36</t>
  </si>
  <si>
    <t>1.名称：风管机-SNJ-36
2.规格型号：设备制冷量：3.6(KW)；设备制热量：4KW)；设备额定风量：550~240M3/H;额定功率:0.03(KW)
3.设备支架制作、安装，手工除锈，刷红丹防锈漆2遍、调和漆2遍
4.本体安装</t>
  </si>
  <si>
    <t>风管机-SNJ-40</t>
  </si>
  <si>
    <t>1.名称：风管机-SNJ-40
2.规格型号：设备制冷量：4(KW)；设备制热量：4.5KW)；设备额定风量：550~460M3/H;额定功率:0.03(KW)
3.设备支架制作、安装，手工除锈，刷红丹防锈漆2遍、调和漆2遍
4.本体安装</t>
  </si>
  <si>
    <t>风管机-SNJ-45</t>
  </si>
  <si>
    <t>1.名称：风管机-SNJ-45
2.规格型号：设备制冷量：4.5(KW)；设备制热量：5(KW)；设备额定风量：800~460M3/H;额定功率:0.04
(KW)
3.设备支架制作、安装，手工除锈，刷红丹防锈漆2遍、调和漆2遍
4.本体安装</t>
  </si>
  <si>
    <t>风管机-SNJ-50</t>
  </si>
  <si>
    <t>1.名称：风管机-SNJ-50
2.规格型号：设备制冷量：5(KW)；设备制热量：5.6KW)；设备额定风量：800~460M3/H;额定功率:0.04(KW)
3.设备支架制作、安装，手工除锈，刷红丹防锈漆2遍、调和漆2遍
4.本体安装</t>
  </si>
  <si>
    <t>风管机-SNJ-56</t>
  </si>
  <si>
    <t>1.名称：风管机-SNJ-56
2.规格型号：设备制冷量：5.6(KW)；设备制热量：6.3(KW)；设备额定风量：800~460M3/H;额定功率:0.04
(KW)
3.设备支架制作、安装，手工除锈，刷红丹防锈漆2遍、调和漆2遍
4.本体安装</t>
  </si>
  <si>
    <t>风管机-SNJ-63</t>
  </si>
  <si>
    <t>1.名称：风管机-SNJ-63
2.规格型号：设备制冷量：6.3(KW)；设备制热量：7.1(KW)；设备额定风量：1000~630M3/H;额定功率:0.05
(KW)
3.设备支架制作、安装，手工除锈，刷红丹防锈漆2遍、调和漆2遍
4.本体安装</t>
  </si>
  <si>
    <t>风管机-SNJ-71</t>
  </si>
  <si>
    <t>1.名称：风管机-SNJ-71
2.规格型号：设备制冷量：7.1(KW)；设备制热量：8(KW)；设备额定风量：1000~630M3/H;额定功率:0.05
(KW)
3.设备支架制作、安装，手工除锈，刷红丹防锈漆2遍、调和漆2遍
4.本体安装</t>
  </si>
  <si>
    <t>风管机-SNJ-80</t>
  </si>
  <si>
    <t>1.名称：风管机-SNJ-80
2.规格型号：设备制冷量：8(KW)；设备制热量：9(KW)；设备额定风量：1000~630M3/H;额定功率:0.05
(KW)
3.设备支架制作、安装，手工除锈，刷红丹防锈漆2遍、调和漆2遍
4.本体安装</t>
  </si>
  <si>
    <t>一拖一风管机-SNJ-71</t>
  </si>
  <si>
    <t>1.名称：一拖一风管机-SNJ-71
2.规格型号：设备制冷量：7.1(KW)；设备制热量：8(KW)；设备额定风量：1000~630M3/H;额定功率:0.05
(KW)
3.设备支架制作、安装，手工除锈，刷红丹防锈漆2遍、调和漆2遍
4.本体安装</t>
  </si>
  <si>
    <t>一拖一风管机-1.0HP</t>
  </si>
  <si>
    <t>1.名称：一拖一风管机-1.0HP
2.规格型号：设备制冷量：2.5(KW)；设备制热量：3.2(KW)；设备额定风量：870~380M3/H;额定功率:0.98
(KW)
3.设备支架制作、安装，手工除锈，刷红丹防锈漆2遍、调和漆2遍、含外机安装
4.本体安装</t>
  </si>
  <si>
    <t>风管软接头</t>
  </si>
  <si>
    <t>1.材质:帆布
2.形状:矩形
3.本体安装</t>
  </si>
  <si>
    <t>m²</t>
  </si>
  <si>
    <t>空调风管</t>
  </si>
  <si>
    <t>1.名称：镀锌薄钢板矩形风管
2.材质：镀锌钢板
3.形状：矩形
4.规格：长边长(mm) ≤1000
5.板材厚度：δ＝0.75mm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</si>
  <si>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1.名称：镀锌薄钢板矩形风管
2.材质：镀锌钢板
3.形状：矩形
4.规格：长边长(mm) ≤2000
5.板材厚度：δ＝1mm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</si>
  <si>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（2）新风工程</t>
  </si>
  <si>
    <t>全热交换新风换气机-YCH-650</t>
  </si>
  <si>
    <t>1.名称：全热交换新风换气机-YCH-650
2.规格型号：设备额定风量：650/530/420M3/H;额定功率:0.42
(KW)
3.设备支架制作、安装，手工除锈，刷红丹防锈漆2遍、调和漆2遍
4.本体安装</t>
  </si>
  <si>
    <t>全新风多联处理机-SNJ-D224</t>
  </si>
  <si>
    <t>1.名称：全新风多联处理机-SNJ-D224
2.规格型号：设备制冷量：22.4(KW)；设备制热量：13.9;(KW)；设备额定风量：1680M3/H;额定功率:0.16
(KW)
3.设备支架制作、安装，手工除锈，刷红丹防锈漆2遍、调和漆2遍
4.本体安装</t>
  </si>
  <si>
    <t>全新风多联处理机-SNJ-D335</t>
  </si>
  <si>
    <t>1.名称：全新风多联处理机-SNJ-D335
2.规格型号：设备制冷量：33.5(KW)；设备制热量：20.8;(KW)；设备额定风量：2500M3/H;额定功率:0.25
(KW)
3.设备支架制作、安装，手工除锈，刷红丹防锈漆2遍、调和漆2遍
4.本体安装</t>
  </si>
  <si>
    <t>新风外机-SWJ-335</t>
  </si>
  <si>
    <t>1.名称：新风外机-SWJ-335
2.规格型号：设备制冷量：33.5(KW)；设备制热量：37.5(KW)；设备额定风量：11700M3/H;额定功率:8.8(KW)
3.设备支架制作、安装，手工除锈，刷红丹防锈漆2遍、调和漆2遍
4.本体安装</t>
  </si>
  <si>
    <t>新风静压箱</t>
  </si>
  <si>
    <t>1.名称：新风静压箱
2.型号、规格：1000*350*200
3.本体安装</t>
  </si>
  <si>
    <t>塑料新风百叶带阀</t>
  </si>
  <si>
    <t>1.名称：塑料新风百叶带阀
2.型号、规格：Φ160
3.本体安装</t>
  </si>
  <si>
    <t>新风百叶</t>
  </si>
  <si>
    <t>1.名称：新风百叶
2.型号、规格：1200*250
3.本体安装</t>
  </si>
  <si>
    <t>1.名称：新风百叶
2.型号、规格：1000*200
3.本体安装</t>
  </si>
  <si>
    <t>1.名称：新风百叶
2.型号、规格：800*250
3.本体安装</t>
  </si>
  <si>
    <t>新风出风口</t>
  </si>
  <si>
    <t>1.名称：新风出风口
2.型号、规格：Φ160
3.本体安装</t>
  </si>
  <si>
    <t>新风送风口</t>
  </si>
  <si>
    <t>1.名称：新风送风口
2.型号、规格：Φ160
3.本体安装</t>
  </si>
  <si>
    <t>新风风管</t>
  </si>
  <si>
    <t>1.名称：镀锌薄钢板矩形风管
2.材质：镀锌钢板
3.形状：矩形
4.规格：长边长(mm) ≤320
5.板材厚度：δ＝0.5mm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</si>
  <si>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1.名称：镀锌薄钢板矩形风管
2.材质：镀锌钢板
3.形状：矩形
4.规格：长边长(mm) ≤450
5.板材厚度：δ＝0.6mm
6.管件、法兰等附件及支架设计要求：吊架(型钢综合) 刷防锈底漆两道 风管法兰衬垫采用厚度为5mm的垫圈，法兰在连接前应除锈并刷防锈漆两遍，连接后再刷灰油漆两遍
7.接口形式：共板法兰连接，含弯头导流叶片制作安装
8.风管保温：难燃B1的橡塑绝热材料；厚度为30mm
9.系统调整费
10.本体安装</t>
  </si>
  <si>
    <t>（3）排风工程</t>
  </si>
  <si>
    <t>低噪音管道式通风机-EAF-02/03</t>
  </si>
  <si>
    <t>1.名称：低噪音管道式通风机-EAF-02/03
2.规格型号：风量:800M3/H,余压:150PA
3.设备支架制作、安装，手工除锈，刷红丹防锈漆2遍、调和漆2遍
4.本体安装</t>
  </si>
  <si>
    <t>低噪音管道式通风机-EAF-04~06</t>
  </si>
  <si>
    <t>1.名称：低噪音管道式通风机-EAF-04~06
2.规格型号：风量:1200M3/H,余压:180PA
3.设备支架制作、安装，手工除锈，刷红丹防锈漆2遍、调和漆2遍
4.本体安装</t>
  </si>
  <si>
    <t>通风机-EAF-01</t>
  </si>
  <si>
    <t>1.名称：通风机-EAF-01
2.规格型号：设备额定风量：100M3/H;额定功率:0.015
(KW)
3.设备支架制作、安装，手工除锈，刷红丹防锈漆2遍、调和漆2遍
4.本体安装</t>
  </si>
  <si>
    <t>通风机-PF-L1-01,02</t>
  </si>
  <si>
    <t>1.名称：通风机-PF-L1-01,02
2.规格型号：L=1068CMH,H=180PA,N=0.04KW,220V
3.设备支架制作、安装，手工除锈，刷红丹防锈漆2遍、调和漆2遍
4.本体安装</t>
  </si>
  <si>
    <t>通风机-PF-L1-03,04</t>
  </si>
  <si>
    <t>1.名称：通风机-PF-L1-03,04
2.规格型号：L=4318CMH,H=100PA,N=0.25KW,220V
3.设备支架制作、安装，手工除锈，刷红丹防锈漆2遍、调和漆2遍
4.本体安装</t>
  </si>
  <si>
    <t>通风机-PF-L1-05,06</t>
  </si>
  <si>
    <t>1.名称：通风机-PF-L1-05,06
2.规格型号：L=1647CMH,H=84PA,N=0.06KW,220V
3.设备支架制作、安装，手工除锈，刷红丹防锈漆2遍、调和漆2遍
4.本体安装</t>
  </si>
  <si>
    <t>排风静压箱</t>
  </si>
  <si>
    <t>1.名称：排风静压箱
2.型号、规格：500*200*150
3.本体安装</t>
  </si>
  <si>
    <t>单层百叶排风口</t>
  </si>
  <si>
    <t>1.名称：单层百叶排风口
2.型号、规格：250*250
3.本体安装</t>
  </si>
  <si>
    <t>防虫网封堵</t>
  </si>
  <si>
    <t>1.名称：防虫网封堵
2.型号、规格：2000X300
3.本体安装</t>
  </si>
  <si>
    <t>排风百叶</t>
  </si>
  <si>
    <t>1.名称：排风百叶
2.型号、规格：1000*250
3.本体安装</t>
  </si>
  <si>
    <t>1.名称：排风百叶
2.型号、规格：630*250
3.本体安装</t>
  </si>
  <si>
    <t>1.名称：排风百叶
2.型号、规格：400*150
3.本体安装</t>
  </si>
  <si>
    <t>1.名称：排风百叶
2.型号、规格：300*150
3.本体安装</t>
  </si>
  <si>
    <t>1.名称：排风百叶
2.型号、规格：300*120
3.本体安装</t>
  </si>
  <si>
    <t>1.名称：排风百叶
2.型号、规格：250*120
3.本体安装</t>
  </si>
  <si>
    <t>排风风管</t>
  </si>
  <si>
    <t>1.材质:镀锌薄钢板
2.形状:矩形
3.板材厚度:0.5mm
4.综合考虑按图纸和规范要求而实施、完成这项工程的一切有关费用</t>
  </si>
  <si>
    <t>1.材质:镀锌薄钢板
2.形状:矩形
3.板材厚度:0.6mm
4.综合考虑按图纸和规范要求而实施、完成这项工程的一切有关费用</t>
  </si>
  <si>
    <t>1.材质:镀锌薄钢板
2.形状:矩形
3.板材厚度:0.75mm
4.综合考虑按图纸和规范要求而实施、完成这项工程的一切有关费用</t>
  </si>
  <si>
    <t>（4）空调水工程</t>
  </si>
  <si>
    <t>冷媒铜管 28.6</t>
  </si>
  <si>
    <t>1.名称:冷媒铜管
2.规格：φ28.6
3.含保温套管,材质为难燃B1级橡塑保温材料保温，厚度20mm
4.其他:为满足本清单工作所需的其他未描述的工作内容，详见相关规范、招标文件及图纸要求</t>
  </si>
  <si>
    <t>冷媒铜管 22.2</t>
  </si>
  <si>
    <t>1.名称:冷媒铜管
2.规格：φ22.2
3.含保温套管,材质为难燃B1级橡塑保温材料保温，厚度20mm
4.其他:为满足本清单工作所需的其他未描述的工作内容，详见相关规范、招标文件及图纸要求</t>
  </si>
  <si>
    <t>冷媒铜管 19.1</t>
  </si>
  <si>
    <t>1.名称:冷媒铜管
2.规格：φ19.1
3.含保温套管,材质为难燃B1级橡塑保温材料保温，厚度20mm
4.其他:为满足本清单工作所需的其他未描述的工作内容，详见相关规范、招标文件及图纸要求</t>
  </si>
  <si>
    <t>冷媒铜管 15.9</t>
  </si>
  <si>
    <t>1.名称:冷媒铜管
2.规格：φ15.9
3.含保温套管,材质为难燃B1级橡塑保温材料保温，厚度20mm
4.其他:为满足本清单工作所需的其他未描述的工作内容，详见相关规范、招标文件及图纸要求</t>
  </si>
  <si>
    <t>冷媒铜管 12.7</t>
  </si>
  <si>
    <t>1.名称:冷媒铜管
2.规格：φ12.7
3.含保温套管,材质为难燃B1级橡塑保温材料保温，厚度15mm
4.其他:为满足本清单工作所需的其他未描述的工作内容，详见相关规范、招标文件及图纸要求</t>
  </si>
  <si>
    <t>冷媒铜管 9.5</t>
  </si>
  <si>
    <t>1.名称:冷媒铜管
2.规格：φ9.5
3.含保温套管,材质为难燃B1级橡塑保温材料保温，厚度15mm
4.其他:为满足本清单工作所需的其他未描述的工作内容，详见相关规范、招标文件及图纸要求</t>
  </si>
  <si>
    <t>冷媒铜管 6.4</t>
  </si>
  <si>
    <t>1.名称:冷媒铜管
2.规格：φ6.4
3.含保温套管,材质为难燃B1级橡塑保温材料保温，厚度15mm
4.其他:为满足本清单工作所需的其他未描述的工作内容，详见相关规范、招标文件及图纸要求</t>
  </si>
  <si>
    <t>UPVC冷凝水管 DN32</t>
  </si>
  <si>
    <t>1.名称:UPVC冷凝水管
2.规格：DN32
3.连接方式：粘接连接
4.包含弯头、三通等相关接头管件，13mm厚橡塑保温套管
5.本体安装</t>
  </si>
  <si>
    <t>UPVC冷凝水管 DN25</t>
  </si>
  <si>
    <t>1.名称:UPVC冷凝水管
2.规格：DN25
3.连接方式：粘接连接
4.包含弯头、三通等相关接头管件，13mm厚橡塑保温套管
5.本体安装</t>
  </si>
  <si>
    <t>PVC装饰盖管</t>
  </si>
  <si>
    <t>1.名称:PVC装饰盖管
2.含装饰盖
3.本体安装</t>
  </si>
  <si>
    <t>分歧器 FQ01</t>
  </si>
  <si>
    <t>1.名称：分歧器
2.型号、规格：FQ01
3.本体安装</t>
  </si>
  <si>
    <t>分歧器 FQ02</t>
  </si>
  <si>
    <t>1.名称：分歧器
2.型号、规格：FQ02
3.本体安装</t>
  </si>
  <si>
    <t>（5）空调电工程</t>
  </si>
  <si>
    <t>风机控制器</t>
  </si>
  <si>
    <t>1.名称：风机控制器
2.本体安装</t>
  </si>
  <si>
    <t>有线控制器</t>
  </si>
  <si>
    <t>1.名称：有线控制器
2.本体安装</t>
  </si>
  <si>
    <t>室内机手拉手屏蔽线</t>
  </si>
  <si>
    <t>1.名称：室内机手拉手屏蔽线                            
2.型号、规格：RVVP2*1.0
3.本体安装</t>
  </si>
  <si>
    <t>温控器控制线</t>
  </si>
  <si>
    <t>1.名称：室内机手拉手屏蔽线                            
2.型号、规格：RVVP2*0.75
3.本体安装</t>
  </si>
  <si>
    <t>电气配管</t>
  </si>
  <si>
    <t>1.名称：电气配管                      
2.型号、规格：KBG20
3.本体安装</t>
  </si>
  <si>
    <t>凿槽及修复</t>
  </si>
  <si>
    <t>镀锌线槽</t>
  </si>
  <si>
    <t>1.名称：镀锌线槽                  
2.型号、规格：300×150
3.含桥架支架，除锈刷油
4.本体安装</t>
  </si>
  <si>
    <t>增补清单</t>
  </si>
  <si>
    <t>丹田海德公馆公区装修工程-工程量清单</t>
  </si>
  <si>
    <t>垃圾清理及卫生清洁</t>
  </si>
  <si>
    <t>卫生清理、含粗清洁、精清洁（按地面投影面积计算）</t>
  </si>
  <si>
    <t>脚手架费用</t>
  </si>
  <si>
    <t>脚手架费用、包括活动式、满堂式、综合式、单排式（按地面投影面积计算）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</si>
</sst>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23" formatCode="\$#,##0_);\(\$#,##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DBNum2][$RMB]General;[Red][DBNum2][$RMB]General"/>
    <numFmt numFmtId="177" formatCode="0.00_);[Red]\(0.00\)"/>
    <numFmt numFmtId="178" formatCode="#,##0.00_ "/>
    <numFmt numFmtId="179" formatCode="0.00_ "/>
    <numFmt numFmtId="180" formatCode="0.00_ ;[Red]\-0.00\ "/>
    <numFmt numFmtId="181" formatCode="#,##0.00_);[Red]\(#,##0.00\)"/>
  </numFmts>
  <fonts count="59">
    <font>
      <sz val="11"/>
      <color theme="1"/>
      <name val="宋体"/>
      <charset val="134"/>
      <scheme val="minor"/>
    </font>
    <font>
      <sz val="9"/>
      <color indexed="8"/>
      <name val="宋体"/>
      <charset val="134"/>
      <scheme val="major"/>
    </font>
    <font>
      <b/>
      <sz val="10"/>
      <color indexed="8"/>
      <name val="宋体"/>
      <charset val="134"/>
      <scheme val="major"/>
    </font>
    <font>
      <b/>
      <sz val="9"/>
      <name val="宋体"/>
      <charset val="134"/>
      <scheme val="major"/>
    </font>
    <font>
      <b/>
      <sz val="18"/>
      <name val="宋体"/>
      <charset val="134"/>
      <scheme val="major"/>
    </font>
    <font>
      <b/>
      <sz val="16"/>
      <name val="宋体"/>
      <charset val="134"/>
      <scheme val="major"/>
    </font>
    <font>
      <b/>
      <sz val="10"/>
      <name val="宋体"/>
      <charset val="134"/>
      <scheme val="major"/>
    </font>
    <font>
      <sz val="10"/>
      <color indexed="8"/>
      <name val="宋体"/>
      <charset val="134"/>
      <scheme val="major"/>
    </font>
    <font>
      <sz val="9"/>
      <color theme="1"/>
      <name val="宋体"/>
      <charset val="134"/>
      <scheme val="major"/>
    </font>
    <font>
      <sz val="9"/>
      <color indexed="8"/>
      <name val="宋体"/>
      <charset val="134"/>
    </font>
    <font>
      <sz val="10"/>
      <color indexed="8"/>
      <name val="宋体"/>
      <charset val="134"/>
    </font>
    <font>
      <b/>
      <sz val="16"/>
      <name val="宋体"/>
      <charset val="134"/>
    </font>
    <font>
      <b/>
      <sz val="10"/>
      <color indexed="8"/>
      <name val="宋体"/>
      <charset val="134"/>
    </font>
    <font>
      <b/>
      <sz val="9"/>
      <name val="宋体"/>
      <charset val="134"/>
    </font>
    <font>
      <sz val="10"/>
      <color rgb="FF000000"/>
      <name val="宋体"/>
      <charset val="134"/>
    </font>
    <font>
      <b/>
      <sz val="10"/>
      <color rgb="FF000000"/>
      <name val="宋体"/>
      <charset val="134"/>
    </font>
    <font>
      <sz val="9"/>
      <name val="宋体"/>
      <charset val="134"/>
    </font>
    <font>
      <sz val="10"/>
      <name val="宋体"/>
      <charset val="134"/>
    </font>
    <font>
      <sz val="10"/>
      <color indexed="0"/>
      <name val="宋体"/>
      <charset val="134"/>
      <scheme val="major"/>
    </font>
    <font>
      <sz val="10"/>
      <name val="宋体"/>
      <charset val="134"/>
      <scheme val="major"/>
    </font>
    <font>
      <b/>
      <sz val="9"/>
      <color indexed="8"/>
      <name val="宋体"/>
      <charset val="134"/>
    </font>
    <font>
      <sz val="9"/>
      <color rgb="FF000000"/>
      <name val="宋体"/>
      <charset val="134"/>
    </font>
    <font>
      <sz val="10"/>
      <color theme="1"/>
      <name val="宋体"/>
      <charset val="134"/>
      <scheme val="major"/>
    </font>
    <font>
      <sz val="9"/>
      <name val="微软雅黑"/>
      <charset val="134"/>
    </font>
    <font>
      <sz val="11"/>
      <color theme="1"/>
      <name val="SimSun"/>
      <charset val="134"/>
    </font>
    <font>
      <sz val="10"/>
      <color rgb="FF000000"/>
      <name val="宋体"/>
      <charset val="134"/>
      <scheme val="major"/>
    </font>
    <font>
      <sz val="16"/>
      <color indexed="8"/>
      <name val="宋体"/>
      <charset val="134"/>
    </font>
    <font>
      <b/>
      <sz val="18"/>
      <color indexed="8"/>
      <name val="宋体"/>
      <charset val="134"/>
    </font>
    <font>
      <b/>
      <sz val="10"/>
      <name val="宋体"/>
      <charset val="134"/>
    </font>
    <font>
      <sz val="14"/>
      <color indexed="8"/>
      <name val="宋体"/>
      <charset val="134"/>
    </font>
    <font>
      <sz val="18"/>
      <color rgb="FF000000"/>
      <name val="宋体"/>
      <charset val="134"/>
      <scheme val="major"/>
    </font>
    <font>
      <sz val="12"/>
      <color rgb="FF000000"/>
      <name val="宋体"/>
      <charset val="134"/>
      <scheme val="major"/>
    </font>
    <font>
      <sz val="11"/>
      <color rgb="FF000000"/>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color theme="1"/>
      <name val="宋体"/>
      <charset val="134"/>
      <scheme val="minor"/>
    </font>
    <font>
      <sz val="11"/>
      <name val="Times New Roman"/>
      <charset val="0"/>
    </font>
    <font>
      <sz val="12"/>
      <name val="Times New Roman"/>
      <charset val="0"/>
    </font>
    <font>
      <sz val="11"/>
      <color indexed="8"/>
      <name val="宋体"/>
      <charset val="134"/>
    </font>
    <font>
      <sz val="11"/>
      <color rgb="FFFF0000"/>
      <name val="宋体"/>
      <charset val="134"/>
      <scheme val="major"/>
    </font>
    <font>
      <sz val="10"/>
      <color rgb="FF000000"/>
      <name val="微软雅黑"/>
      <charset val="134"/>
    </font>
  </fonts>
  <fills count="36">
    <fill>
      <patternFill patternType="none"/>
    </fill>
    <fill>
      <patternFill patternType="gray125"/>
    </fill>
    <fill>
      <patternFill patternType="solid">
        <fgColor rgb="FFFFFFFF"/>
        <bgColor indexed="64"/>
      </patternFill>
    </fill>
    <fill>
      <patternFill patternType="solid">
        <fgColor rgb="FFFFC000"/>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0" fillId="5" borderId="8"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9"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1" fillId="6" borderId="11" applyNumberFormat="0" applyAlignment="0" applyProtection="0">
      <alignment vertical="center"/>
    </xf>
    <xf numFmtId="0" fontId="42" fillId="7" borderId="12" applyNumberFormat="0" applyAlignment="0" applyProtection="0">
      <alignment vertical="center"/>
    </xf>
    <xf numFmtId="0" fontId="43" fillId="7" borderId="11" applyNumberFormat="0" applyAlignment="0" applyProtection="0">
      <alignment vertical="center"/>
    </xf>
    <xf numFmtId="0" fontId="44" fillId="8" borderId="13" applyNumberFormat="0" applyAlignment="0" applyProtection="0">
      <alignment vertical="center"/>
    </xf>
    <xf numFmtId="0" fontId="45" fillId="0" borderId="14" applyNumberFormat="0" applyFill="0" applyAlignment="0" applyProtection="0">
      <alignment vertical="center"/>
    </xf>
    <xf numFmtId="0" fontId="46" fillId="0" borderId="15" applyNumberFormat="0" applyFill="0" applyAlignment="0" applyProtection="0">
      <alignment vertical="center"/>
    </xf>
    <xf numFmtId="0" fontId="47" fillId="9" borderId="0" applyNumberFormat="0" applyBorder="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1" fillId="14"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1" fillId="18"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1" fillId="21" borderId="0" applyNumberFormat="0" applyBorder="0" applyAlignment="0" applyProtection="0">
      <alignment vertical="center"/>
    </xf>
    <xf numFmtId="0" fontId="51" fillId="22"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1" fillId="25" borderId="0" applyNumberFormat="0" applyBorder="0" applyAlignment="0" applyProtection="0">
      <alignment vertical="center"/>
    </xf>
    <xf numFmtId="0" fontId="51"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1" fillId="29" borderId="0" applyNumberFormat="0" applyBorder="0" applyAlignment="0" applyProtection="0">
      <alignment vertical="center"/>
    </xf>
    <xf numFmtId="0" fontId="51"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51" fillId="33" borderId="0" applyNumberFormat="0" applyBorder="0" applyAlignment="0" applyProtection="0">
      <alignment vertical="center"/>
    </xf>
    <xf numFmtId="0" fontId="51" fillId="34" borderId="0" applyNumberFormat="0" applyBorder="0" applyAlignment="0" applyProtection="0">
      <alignment vertical="center"/>
    </xf>
    <xf numFmtId="0" fontId="50" fillId="35" borderId="0" applyNumberFormat="0" applyBorder="0" applyAlignment="0" applyProtection="0">
      <alignment vertical="center"/>
    </xf>
    <xf numFmtId="0" fontId="52" fillId="0" borderId="0"/>
    <xf numFmtId="0" fontId="53" fillId="0" borderId="0"/>
    <xf numFmtId="0" fontId="54" fillId="0" borderId="0">
      <alignment vertical="center"/>
    </xf>
    <xf numFmtId="0" fontId="0" fillId="0" borderId="0">
      <alignment vertical="center"/>
    </xf>
    <xf numFmtId="176" fontId="55" fillId="0" borderId="0"/>
    <xf numFmtId="0" fontId="52" fillId="0" borderId="0">
      <alignment vertical="center"/>
    </xf>
    <xf numFmtId="0" fontId="52" fillId="0" borderId="0">
      <alignment vertical="center"/>
    </xf>
    <xf numFmtId="0" fontId="9" fillId="0" borderId="0"/>
    <xf numFmtId="0" fontId="20" fillId="0" borderId="0" applyNumberFormat="0" applyFill="0" applyBorder="0" applyAlignment="0" applyProtection="0"/>
    <xf numFmtId="0" fontId="9" fillId="0" borderId="0"/>
    <xf numFmtId="0" fontId="56" fillId="0" borderId="0">
      <alignment vertical="center"/>
    </xf>
    <xf numFmtId="0" fontId="52" fillId="0" borderId="0">
      <alignment vertical="center"/>
    </xf>
    <xf numFmtId="0" fontId="52" fillId="0" borderId="0">
      <alignment vertical="center"/>
    </xf>
  </cellStyleXfs>
  <cellXfs count="148">
    <xf numFmtId="0" fontId="0" fillId="0" borderId="0" xfId="0">
      <alignment vertical="center"/>
    </xf>
    <xf numFmtId="0" fontId="1" fillId="0" borderId="0" xfId="0" applyFont="1" applyFill="1" applyBorder="1" applyAlignment="1">
      <alignment vertical="center"/>
    </xf>
    <xf numFmtId="0" fontId="2" fillId="0" borderId="0" xfId="0" applyNumberFormat="1" applyFont="1" applyFill="1" applyBorder="1" applyAlignment="1">
      <alignment horizontal="center" vertical="center" wrapText="1"/>
    </xf>
    <xf numFmtId="0" fontId="1" fillId="0" borderId="0" xfId="0" applyFont="1" applyFill="1" applyBorder="1" applyAlignment="1">
      <alignment horizontal="left" vertical="center" wrapText="1"/>
    </xf>
    <xf numFmtId="177" fontId="1" fillId="0" borderId="0" xfId="0" applyNumberFormat="1" applyFont="1" applyFill="1" applyBorder="1" applyAlignment="1">
      <alignment horizontal="right" vertical="center" wrapText="1"/>
    </xf>
    <xf numFmtId="178" fontId="1" fillId="0" borderId="0" xfId="0" applyNumberFormat="1" applyFont="1" applyFill="1" applyBorder="1" applyAlignment="1">
      <alignment horizontal="right" vertical="center" wrapText="1"/>
    </xf>
    <xf numFmtId="179" fontId="3" fillId="0" borderId="0" xfId="0" applyNumberFormat="1" applyFont="1" applyFill="1" applyBorder="1" applyAlignment="1">
      <alignment horizontal="center" vertical="center"/>
    </xf>
    <xf numFmtId="0" fontId="4" fillId="0" borderId="0" xfId="0" applyFont="1" applyFill="1" applyBorder="1" applyAlignment="1">
      <alignment horizontal="center" vertical="center"/>
    </xf>
    <xf numFmtId="0" fontId="5" fillId="0" borderId="0" xfId="0" applyFont="1" applyFill="1" applyBorder="1" applyAlignment="1">
      <alignment horizontal="left" vertical="center" wrapText="1"/>
    </xf>
    <xf numFmtId="0" fontId="5" fillId="0" borderId="0" xfId="0" applyFont="1" applyFill="1" applyBorder="1" applyAlignment="1">
      <alignment horizontal="center" vertical="center"/>
    </xf>
    <xf numFmtId="177" fontId="5" fillId="0" borderId="0" xfId="0" applyNumberFormat="1" applyFont="1" applyFill="1" applyBorder="1" applyAlignment="1">
      <alignment horizontal="right" vertical="center" wrapText="1"/>
    </xf>
    <xf numFmtId="178" fontId="5" fillId="0" borderId="0" xfId="0" applyNumberFormat="1" applyFont="1" applyFill="1" applyBorder="1" applyAlignment="1">
      <alignment horizontal="right" vertical="center" wrapText="1"/>
    </xf>
    <xf numFmtId="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0" borderId="2" xfId="0" applyNumberFormat="1" applyFont="1" applyFill="1" applyBorder="1" applyAlignment="1">
      <alignment horizontal="center" vertical="center" wrapText="1"/>
    </xf>
    <xf numFmtId="178" fontId="2" fillId="0" borderId="1"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178" fontId="2" fillId="0" borderId="3"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179" fontId="2" fillId="0" borderId="2" xfId="0" applyNumberFormat="1" applyFont="1" applyFill="1" applyBorder="1" applyAlignment="1">
      <alignment horizontal="right" vertical="center" wrapText="1"/>
    </xf>
    <xf numFmtId="178" fontId="2"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center" vertical="center" wrapText="1"/>
    </xf>
    <xf numFmtId="0" fontId="7" fillId="0" borderId="2" xfId="0" applyNumberFormat="1" applyFont="1" applyFill="1" applyBorder="1" applyAlignment="1">
      <alignment horizontal="left" vertical="center" wrapText="1"/>
    </xf>
    <xf numFmtId="179" fontId="7" fillId="0" borderId="2" xfId="0" applyNumberFormat="1" applyFont="1" applyFill="1" applyBorder="1" applyAlignment="1">
      <alignment horizontal="center" vertical="center" wrapText="1"/>
    </xf>
    <xf numFmtId="177" fontId="8" fillId="0" borderId="2" xfId="0" applyNumberFormat="1" applyFont="1" applyFill="1" applyBorder="1" applyAlignment="1">
      <alignment horizontal="center" vertical="center"/>
    </xf>
    <xf numFmtId="179" fontId="8" fillId="0" borderId="2" xfId="0" applyNumberFormat="1" applyFont="1" applyFill="1" applyBorder="1" applyAlignment="1">
      <alignment horizontal="center" vertical="center"/>
    </xf>
    <xf numFmtId="178" fontId="1" fillId="0" borderId="2" xfId="0" applyNumberFormat="1" applyFont="1" applyFill="1" applyBorder="1" applyAlignment="1">
      <alignment horizontal="center" vertical="center" wrapText="1"/>
    </xf>
    <xf numFmtId="0" fontId="9" fillId="0" borderId="0" xfId="56" applyFill="1" applyBorder="1" applyAlignment="1" applyProtection="1"/>
    <xf numFmtId="0" fontId="10" fillId="0" borderId="0" xfId="56" applyFont="1" applyFill="1" applyBorder="1" applyAlignment="1" applyProtection="1"/>
    <xf numFmtId="0" fontId="7" fillId="0" borderId="0" xfId="56" applyFont="1" applyFill="1" applyBorder="1" applyAlignment="1" applyProtection="1"/>
    <xf numFmtId="0" fontId="2" fillId="0" borderId="0" xfId="57" applyFont="1" applyFill="1" applyBorder="1" applyProtection="1"/>
    <xf numFmtId="0" fontId="9" fillId="0" borderId="0" xfId="58" applyNumberFormat="1" applyFill="1" applyBorder="1" applyAlignment="1" applyProtection="1">
      <alignment horizontal="center"/>
    </xf>
    <xf numFmtId="0" fontId="9" fillId="0" borderId="0" xfId="58" applyFont="1" applyFill="1" applyBorder="1" applyAlignment="1" applyProtection="1">
      <alignment horizontal="center" vertical="center" wrapText="1"/>
    </xf>
    <xf numFmtId="0" fontId="9" fillId="0" borderId="0" xfId="58" applyFont="1" applyFill="1" applyBorder="1" applyAlignment="1" applyProtection="1"/>
    <xf numFmtId="0" fontId="9" fillId="0" borderId="0" xfId="58" applyFill="1" applyBorder="1" applyAlignment="1" applyProtection="1">
      <alignment horizontal="center"/>
    </xf>
    <xf numFmtId="179" fontId="9" fillId="0" borderId="0" xfId="58" applyNumberFormat="1" applyFill="1" applyBorder="1" applyAlignment="1" applyProtection="1">
      <alignment horizontal="center"/>
    </xf>
    <xf numFmtId="180" fontId="9" fillId="0" borderId="0" xfId="58" applyNumberFormat="1" applyFill="1" applyBorder="1" applyAlignment="1" applyProtection="1">
      <alignment horizontal="center" vertical="center"/>
    </xf>
    <xf numFmtId="180" fontId="9" fillId="0" borderId="0" xfId="58" applyNumberFormat="1" applyFill="1" applyBorder="1" applyAlignment="1" applyProtection="1">
      <alignment horizontal="center"/>
    </xf>
    <xf numFmtId="49" fontId="9" fillId="0" borderId="0" xfId="58" applyNumberFormat="1" applyFill="1" applyBorder="1" applyAlignment="1" applyProtection="1">
      <alignment horizontal="center"/>
    </xf>
    <xf numFmtId="0" fontId="11" fillId="0" borderId="4" xfId="56" applyNumberFormat="1" applyFont="1" applyFill="1" applyBorder="1" applyAlignment="1" applyProtection="1">
      <alignment horizontal="center" vertical="center"/>
    </xf>
    <xf numFmtId="0" fontId="11" fillId="0" borderId="4" xfId="56" applyFont="1" applyFill="1" applyBorder="1" applyAlignment="1" applyProtection="1">
      <alignment horizontal="center" vertical="center" wrapText="1"/>
    </xf>
    <xf numFmtId="0" fontId="11" fillId="0" borderId="4" xfId="56" applyFont="1" applyFill="1" applyBorder="1" applyAlignment="1" applyProtection="1">
      <alignment horizontal="center" vertical="center"/>
    </xf>
    <xf numFmtId="0" fontId="12" fillId="0" borderId="2" xfId="0" applyNumberFormat="1" applyFont="1" applyFill="1" applyBorder="1" applyAlignment="1" applyProtection="1">
      <alignment horizontal="center" vertical="center" wrapText="1"/>
    </xf>
    <xf numFmtId="0" fontId="12" fillId="0" borderId="2" xfId="0" applyFont="1" applyFill="1" applyBorder="1" applyAlignment="1" applyProtection="1">
      <alignment horizontal="center" vertical="center" wrapText="1"/>
    </xf>
    <xf numFmtId="179" fontId="12" fillId="0" borderId="2" xfId="0" applyNumberFormat="1" applyFont="1" applyFill="1" applyBorder="1" applyAlignment="1" applyProtection="1">
      <alignment horizontal="center" vertical="center" wrapText="1"/>
    </xf>
    <xf numFmtId="180" fontId="13" fillId="0" borderId="2" xfId="0" applyNumberFormat="1" applyFont="1" applyFill="1" applyBorder="1" applyAlignment="1" applyProtection="1">
      <alignment horizontal="center" vertical="center" wrapText="1"/>
    </xf>
    <xf numFmtId="180" fontId="12" fillId="0" borderId="2" xfId="0" applyNumberFormat="1" applyFont="1" applyFill="1" applyBorder="1" applyAlignment="1" applyProtection="1">
      <alignment horizontal="center" vertical="center" wrapText="1"/>
    </xf>
    <xf numFmtId="10" fontId="13" fillId="0" borderId="2" xfId="0" applyNumberFormat="1" applyFont="1" applyFill="1" applyBorder="1" applyAlignment="1" applyProtection="1">
      <alignment horizontal="center" vertical="center" shrinkToFit="1"/>
      <protection locked="0"/>
    </xf>
    <xf numFmtId="49" fontId="14" fillId="0" borderId="2" xfId="0" applyNumberFormat="1" applyFont="1" applyFill="1" applyBorder="1" applyAlignment="1">
      <alignment horizontal="centerContinuous" vertical="center" wrapText="1"/>
    </xf>
    <xf numFmtId="0" fontId="15" fillId="0" borderId="2" xfId="0" applyNumberFormat="1" applyFont="1" applyFill="1" applyBorder="1" applyAlignment="1">
      <alignment horizontal="center" vertical="center" wrapText="1"/>
    </xf>
    <xf numFmtId="0" fontId="16" fillId="0" borderId="2" xfId="59" applyNumberFormat="1" applyFont="1" applyFill="1" applyBorder="1" applyAlignment="1" applyProtection="1">
      <alignment horizontal="left" vertical="center" wrapText="1"/>
    </xf>
    <xf numFmtId="0" fontId="14" fillId="0" borderId="2" xfId="0" applyNumberFormat="1" applyFont="1" applyFill="1" applyBorder="1" applyAlignment="1">
      <alignment horizontal="center" vertical="center" wrapText="1"/>
    </xf>
    <xf numFmtId="179" fontId="14" fillId="0" borderId="2" xfId="0" applyNumberFormat="1" applyFont="1" applyFill="1" applyBorder="1" applyAlignment="1">
      <alignment horizontal="center" vertical="center" wrapText="1"/>
    </xf>
    <xf numFmtId="180" fontId="14" fillId="0" borderId="2" xfId="0" applyNumberFormat="1" applyFont="1" applyFill="1" applyBorder="1" applyAlignment="1" applyProtection="1">
      <alignment horizontal="center" vertical="center" wrapText="1"/>
      <protection locked="0"/>
    </xf>
    <xf numFmtId="0" fontId="7" fillId="0" borderId="2" xfId="56" applyFont="1" applyFill="1" applyBorder="1" applyAlignment="1" applyProtection="1">
      <alignment horizontal="center" vertical="center"/>
    </xf>
    <xf numFmtId="181" fontId="17" fillId="0" borderId="2" xfId="0" applyNumberFormat="1" applyFont="1" applyFill="1" applyBorder="1" applyAlignment="1">
      <alignment horizontal="center" vertical="center" shrinkToFit="1"/>
    </xf>
    <xf numFmtId="180" fontId="15" fillId="0" borderId="2" xfId="0" applyNumberFormat="1" applyFont="1" applyFill="1" applyBorder="1" applyAlignment="1">
      <alignment horizontal="center" vertical="center" wrapText="1"/>
    </xf>
    <xf numFmtId="180" fontId="18" fillId="0" borderId="2" xfId="56" applyNumberFormat="1" applyFont="1" applyFill="1" applyBorder="1" applyAlignment="1" applyProtection="1">
      <alignment horizontal="center" vertical="center" wrapText="1"/>
    </xf>
    <xf numFmtId="0" fontId="15" fillId="0" borderId="2" xfId="0" applyNumberFormat="1" applyFont="1" applyFill="1" applyBorder="1" applyAlignment="1">
      <alignment horizontal="left" vertical="center" wrapText="1"/>
    </xf>
    <xf numFmtId="0" fontId="19" fillId="0" borderId="2" xfId="0" applyNumberFormat="1" applyFont="1" applyFill="1" applyBorder="1" applyAlignment="1">
      <alignment horizontal="left" vertical="center" wrapText="1"/>
    </xf>
    <xf numFmtId="0" fontId="14" fillId="0" borderId="2" xfId="0" applyNumberFormat="1" applyFont="1" applyFill="1" applyBorder="1" applyAlignment="1">
      <alignment horizontal="centerContinuous" vertical="center" wrapText="1"/>
    </xf>
    <xf numFmtId="0" fontId="14" fillId="0" borderId="2" xfId="0" applyNumberFormat="1" applyFont="1" applyFill="1" applyBorder="1" applyAlignment="1">
      <alignment horizontal="left" vertical="center" wrapText="1"/>
    </xf>
    <xf numFmtId="0" fontId="14" fillId="0" borderId="2" xfId="0" applyNumberFormat="1" applyFont="1" applyFill="1" applyBorder="1" applyAlignment="1">
      <alignment vertical="center" wrapText="1"/>
    </xf>
    <xf numFmtId="179" fontId="17" fillId="0" borderId="2" xfId="0" applyNumberFormat="1" applyFont="1" applyFill="1" applyBorder="1" applyAlignment="1">
      <alignment horizontal="center" vertical="center"/>
    </xf>
    <xf numFmtId="180" fontId="14" fillId="0" borderId="2" xfId="0" applyNumberFormat="1" applyFont="1" applyFill="1" applyBorder="1" applyAlignment="1">
      <alignment horizontal="center" vertical="center" wrapText="1"/>
    </xf>
    <xf numFmtId="180" fontId="2" fillId="0" borderId="2" xfId="57" applyNumberFormat="1" applyFont="1" applyFill="1" applyBorder="1" applyAlignment="1" applyProtection="1">
      <alignment horizontal="center" vertical="center" wrapText="1"/>
    </xf>
    <xf numFmtId="49" fontId="9" fillId="0" borderId="2" xfId="58" applyNumberFormat="1" applyFill="1" applyBorder="1" applyAlignment="1" applyProtection="1">
      <alignment horizontal="center"/>
    </xf>
    <xf numFmtId="0" fontId="20" fillId="0" borderId="2" xfId="58" applyFont="1" applyFill="1" applyBorder="1" applyAlignment="1" applyProtection="1">
      <alignment horizontal="left" vertical="center" wrapText="1"/>
    </xf>
    <xf numFmtId="0" fontId="9" fillId="0" borderId="2" xfId="58" applyFont="1" applyFill="1" applyBorder="1" applyAlignment="1" applyProtection="1"/>
    <xf numFmtId="0" fontId="9" fillId="0" borderId="2" xfId="58" applyFill="1" applyBorder="1" applyAlignment="1" applyProtection="1">
      <alignment horizontal="center"/>
    </xf>
    <xf numFmtId="180" fontId="9" fillId="0" borderId="2" xfId="58" applyNumberFormat="1" applyFill="1" applyBorder="1" applyAlignment="1" applyProtection="1">
      <alignment horizontal="center" vertical="center"/>
    </xf>
    <xf numFmtId="180" fontId="9" fillId="0" borderId="2" xfId="58" applyNumberFormat="1" applyFill="1" applyBorder="1" applyAlignment="1" applyProtection="1">
      <alignment horizontal="center"/>
    </xf>
    <xf numFmtId="180" fontId="12" fillId="0" borderId="2" xfId="58" applyNumberFormat="1" applyFont="1" applyFill="1" applyBorder="1" applyAlignment="1" applyProtection="1">
      <alignment horizontal="center" vertical="center"/>
    </xf>
    <xf numFmtId="49" fontId="15" fillId="0" borderId="2" xfId="0" applyNumberFormat="1" applyFont="1" applyFill="1" applyBorder="1" applyAlignment="1">
      <alignment horizontal="centerContinuous" vertical="center" wrapText="1"/>
    </xf>
    <xf numFmtId="0" fontId="15" fillId="0" borderId="2" xfId="0" applyNumberFormat="1" applyFont="1" applyFill="1" applyBorder="1" applyAlignment="1">
      <alignment vertical="center" wrapText="1"/>
    </xf>
    <xf numFmtId="179" fontId="15" fillId="0" borderId="2" xfId="0" applyNumberFormat="1" applyFont="1" applyFill="1" applyBorder="1" applyAlignment="1">
      <alignment horizontal="center" vertical="center" wrapText="1"/>
    </xf>
    <xf numFmtId="180" fontId="15" fillId="0" borderId="2" xfId="0" applyNumberFormat="1" applyFont="1" applyFill="1" applyBorder="1" applyAlignment="1" applyProtection="1">
      <alignment horizontal="center" vertical="center" wrapText="1"/>
      <protection locked="0"/>
    </xf>
    <xf numFmtId="0" fontId="16" fillId="0" borderId="2" xfId="0" applyNumberFormat="1" applyFont="1" applyFill="1" applyBorder="1" applyAlignment="1">
      <alignment vertical="center" wrapText="1"/>
    </xf>
    <xf numFmtId="0" fontId="15" fillId="0" borderId="2" xfId="0" applyNumberFormat="1" applyFont="1" applyFill="1" applyBorder="1" applyAlignment="1">
      <alignment horizontal="centerContinuous" vertical="center" wrapText="1"/>
    </xf>
    <xf numFmtId="0" fontId="14" fillId="0" borderId="5" xfId="0" applyNumberFormat="1" applyFont="1" applyFill="1" applyBorder="1" applyAlignment="1">
      <alignment horizontal="center" vertical="center" wrapText="1"/>
    </xf>
    <xf numFmtId="0" fontId="14" fillId="0" borderId="2" xfId="0" applyNumberFormat="1" applyFont="1" applyFill="1" applyBorder="1" applyAlignment="1">
      <alignment horizontal="center" vertical="center"/>
    </xf>
    <xf numFmtId="0" fontId="14" fillId="0" borderId="5" xfId="0" applyNumberFormat="1" applyFont="1" applyFill="1" applyBorder="1" applyAlignment="1">
      <alignment vertical="center"/>
    </xf>
    <xf numFmtId="179" fontId="21" fillId="2" borderId="6" xfId="0" applyNumberFormat="1" applyFont="1" applyFill="1" applyBorder="1" applyAlignment="1">
      <alignment horizontal="right" vertical="center" wrapText="1"/>
    </xf>
    <xf numFmtId="0" fontId="22" fillId="0" borderId="0" xfId="0" applyFont="1" applyFill="1" applyBorder="1" applyAlignment="1">
      <alignment vertical="center"/>
    </xf>
    <xf numFmtId="0" fontId="1" fillId="0" borderId="0" xfId="0" applyFont="1" applyFill="1" applyBorder="1" applyAlignment="1">
      <alignment horizontal="center" vertical="center"/>
    </xf>
    <xf numFmtId="177" fontId="1" fillId="0" borderId="0" xfId="0" applyNumberFormat="1" applyFont="1" applyFill="1" applyBorder="1" applyAlignment="1">
      <alignment horizontal="center" vertical="center" wrapText="1"/>
    </xf>
    <xf numFmtId="178" fontId="1" fillId="0" borderId="0" xfId="0" applyNumberFormat="1" applyFont="1" applyFill="1" applyBorder="1" applyAlignment="1">
      <alignment horizontal="center" vertical="center" wrapText="1"/>
    </xf>
    <xf numFmtId="177" fontId="5" fillId="0" borderId="0" xfId="0" applyNumberFormat="1" applyFont="1" applyFill="1" applyBorder="1" applyAlignment="1">
      <alignment horizontal="center" vertical="center" wrapText="1"/>
    </xf>
    <xf numFmtId="178" fontId="5" fillId="0" borderId="0"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2" xfId="0" applyFont="1" applyFill="1" applyBorder="1" applyAlignment="1">
      <alignment horizontal="center" vertical="center" wrapText="1"/>
    </xf>
    <xf numFmtId="23" fontId="2" fillId="0" borderId="2" xfId="0" applyNumberFormat="1" applyFont="1" applyFill="1" applyBorder="1" applyAlignment="1" applyProtection="1">
      <alignment horizontal="center" vertical="center" wrapText="1"/>
    </xf>
    <xf numFmtId="177" fontId="2" fillId="0" borderId="2" xfId="0" applyNumberFormat="1" applyFont="1" applyFill="1" applyBorder="1" applyAlignment="1">
      <alignment horizontal="center" vertical="center" wrapText="1"/>
    </xf>
    <xf numFmtId="179" fontId="2" fillId="0" borderId="2" xfId="0" applyNumberFormat="1" applyFont="1" applyFill="1" applyBorder="1" applyAlignment="1">
      <alignment horizontal="center" vertical="center"/>
    </xf>
    <xf numFmtId="0" fontId="7" fillId="0" borderId="2" xfId="0" applyFont="1" applyFill="1" applyBorder="1" applyAlignment="1">
      <alignment horizontal="center" vertical="center"/>
    </xf>
    <xf numFmtId="0" fontId="7" fillId="0" borderId="2" xfId="0" applyFont="1" applyFill="1" applyBorder="1" applyAlignment="1">
      <alignment horizontal="center" vertical="center" wrapText="1"/>
    </xf>
    <xf numFmtId="0" fontId="7" fillId="0" borderId="2" xfId="0" applyFont="1" applyFill="1" applyBorder="1" applyAlignment="1">
      <alignment horizontal="left" vertical="center" wrapText="1"/>
    </xf>
    <xf numFmtId="23" fontId="7" fillId="0" borderId="2" xfId="0" applyNumberFormat="1" applyFont="1" applyFill="1" applyBorder="1" applyAlignment="1" applyProtection="1">
      <alignment horizontal="center" vertical="center" wrapText="1"/>
    </xf>
    <xf numFmtId="177" fontId="7" fillId="0" borderId="2" xfId="0" applyNumberFormat="1" applyFont="1" applyFill="1" applyBorder="1" applyAlignment="1">
      <alignment horizontal="center" vertical="center" wrapText="1"/>
    </xf>
    <xf numFmtId="178" fontId="7" fillId="0" borderId="2" xfId="0" applyNumberFormat="1" applyFont="1" applyFill="1" applyBorder="1" applyAlignment="1">
      <alignment horizontal="center" vertical="center" wrapText="1"/>
    </xf>
    <xf numFmtId="0" fontId="23" fillId="0" borderId="2" xfId="50" applyFont="1" applyFill="1" applyBorder="1" applyAlignment="1" applyProtection="1">
      <alignment horizontal="center" vertical="center" wrapText="1"/>
    </xf>
    <xf numFmtId="0" fontId="19" fillId="0" borderId="2" xfId="0" applyFont="1" applyFill="1" applyBorder="1" applyAlignment="1">
      <alignment horizontal="center" vertical="center" wrapText="1"/>
    </xf>
    <xf numFmtId="0" fontId="7" fillId="0" borderId="3" xfId="0" applyNumberFormat="1" applyFont="1" applyFill="1" applyBorder="1" applyAlignment="1">
      <alignment horizontal="center" vertical="center" wrapText="1"/>
    </xf>
    <xf numFmtId="0" fontId="7" fillId="0" borderId="3" xfId="0" applyNumberFormat="1" applyFont="1" applyFill="1" applyBorder="1" applyAlignment="1">
      <alignment horizontal="left" vertical="center" wrapText="1"/>
    </xf>
    <xf numFmtId="0" fontId="7" fillId="0" borderId="3" xfId="0" applyFont="1" applyFill="1" applyBorder="1" applyAlignment="1">
      <alignment horizontal="center" vertical="center" wrapText="1"/>
    </xf>
    <xf numFmtId="0" fontId="17" fillId="0" borderId="2" xfId="0" applyFont="1" applyFill="1" applyBorder="1" applyAlignment="1">
      <alignment horizontal="left" vertical="center" wrapText="1"/>
    </xf>
    <xf numFmtId="179" fontId="2" fillId="0" borderId="2" xfId="0" applyNumberFormat="1" applyFont="1" applyFill="1" applyBorder="1" applyAlignment="1">
      <alignment horizontal="center" vertical="center" wrapText="1"/>
    </xf>
    <xf numFmtId="0" fontId="22" fillId="0" borderId="0" xfId="0" applyFont="1" applyFill="1" applyAlignment="1">
      <alignment vertical="center"/>
    </xf>
    <xf numFmtId="0" fontId="7" fillId="3" borderId="2" xfId="0" applyFont="1" applyFill="1" applyBorder="1" applyAlignment="1">
      <alignment horizontal="center" vertical="center" wrapText="1"/>
    </xf>
    <xf numFmtId="0" fontId="24" fillId="0" borderId="0" xfId="0" applyFont="1" applyFill="1">
      <alignment vertical="center"/>
    </xf>
    <xf numFmtId="0" fontId="19" fillId="0" borderId="2" xfId="0" applyFont="1" applyFill="1" applyBorder="1" applyAlignment="1">
      <alignment horizontal="left" vertical="center" wrapText="1"/>
    </xf>
    <xf numFmtId="0" fontId="16" fillId="0" borderId="2" xfId="0" applyFont="1" applyFill="1" applyBorder="1" applyAlignment="1" applyProtection="1">
      <alignment horizontal="left" vertical="center" wrapText="1"/>
    </xf>
    <xf numFmtId="0" fontId="16" fillId="0" borderId="2" xfId="0" applyFont="1" applyFill="1" applyBorder="1" applyAlignment="1" applyProtection="1">
      <alignment horizontal="center" vertical="center" wrapText="1"/>
    </xf>
    <xf numFmtId="0" fontId="2" fillId="0" borderId="3" xfId="0" applyFont="1" applyFill="1" applyBorder="1" applyAlignment="1">
      <alignment horizontal="center" vertical="center" wrapText="1"/>
    </xf>
    <xf numFmtId="23" fontId="2" fillId="0" borderId="3" xfId="0" applyNumberFormat="1" applyFont="1" applyFill="1" applyBorder="1" applyAlignment="1" applyProtection="1">
      <alignment horizontal="center" vertical="center" wrapText="1"/>
    </xf>
    <xf numFmtId="0" fontId="6"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5" fillId="0" borderId="3" xfId="0" applyNumberFormat="1" applyFont="1" applyFill="1" applyBorder="1" applyAlignment="1">
      <alignment horizontal="left" vertical="center" wrapText="1"/>
    </xf>
    <xf numFmtId="177" fontId="26" fillId="0" borderId="0" xfId="0" applyNumberFormat="1" applyFont="1" applyFill="1" applyBorder="1" applyAlignment="1">
      <alignment vertical="center"/>
    </xf>
    <xf numFmtId="177" fontId="20" fillId="0" borderId="0" xfId="0" applyNumberFormat="1" applyFont="1" applyFill="1" applyBorder="1" applyAlignment="1">
      <alignment horizontal="center" vertical="center" wrapText="1"/>
    </xf>
    <xf numFmtId="177" fontId="9" fillId="0" borderId="0" xfId="0" applyNumberFormat="1" applyFont="1" applyFill="1" applyBorder="1" applyAlignment="1">
      <alignment vertical="center"/>
    </xf>
    <xf numFmtId="177" fontId="9" fillId="0" borderId="0" xfId="0" applyNumberFormat="1" applyFont="1" applyFill="1" applyBorder="1" applyAlignment="1">
      <alignment horizontal="left" vertical="center" wrapText="1"/>
    </xf>
    <xf numFmtId="181" fontId="9" fillId="0" borderId="0" xfId="0" applyNumberFormat="1" applyFont="1" applyFill="1" applyBorder="1" applyAlignment="1">
      <alignment horizontal="right" vertical="center" wrapText="1"/>
    </xf>
    <xf numFmtId="177" fontId="13" fillId="0" borderId="0" xfId="0" applyNumberFormat="1" applyFont="1" applyFill="1" applyBorder="1" applyAlignment="1">
      <alignment horizontal="center" vertical="center"/>
    </xf>
    <xf numFmtId="177" fontId="27" fillId="0" borderId="0" xfId="0" applyNumberFormat="1" applyFont="1" applyFill="1" applyBorder="1" applyAlignment="1">
      <alignment horizontal="center" vertical="center"/>
    </xf>
    <xf numFmtId="177" fontId="27" fillId="0" borderId="0" xfId="0" applyNumberFormat="1" applyFont="1" applyFill="1" applyBorder="1" applyAlignment="1">
      <alignment horizontal="left" vertical="center" wrapText="1"/>
    </xf>
    <xf numFmtId="181" fontId="27" fillId="0" borderId="0" xfId="0" applyNumberFormat="1" applyFont="1" applyFill="1" applyBorder="1" applyAlignment="1">
      <alignment horizontal="right" vertical="center" wrapText="1"/>
    </xf>
    <xf numFmtId="177" fontId="28" fillId="0" borderId="0" xfId="0" applyNumberFormat="1" applyFont="1" applyFill="1" applyBorder="1" applyAlignment="1">
      <alignment horizontal="left" vertical="center"/>
    </xf>
    <xf numFmtId="177" fontId="28" fillId="0" borderId="0" xfId="0" applyNumberFormat="1" applyFont="1" applyFill="1" applyBorder="1" applyAlignment="1">
      <alignment horizontal="left" vertical="center" wrapText="1"/>
    </xf>
    <xf numFmtId="181" fontId="28" fillId="0" borderId="0" xfId="0" applyNumberFormat="1" applyFont="1" applyFill="1" applyBorder="1" applyAlignment="1">
      <alignment horizontal="left" vertical="center" wrapText="1"/>
    </xf>
    <xf numFmtId="177" fontId="12" fillId="4" borderId="2" xfId="0" applyNumberFormat="1" applyFont="1" applyFill="1" applyBorder="1" applyAlignment="1">
      <alignment horizontal="center" vertical="center" wrapText="1"/>
    </xf>
    <xf numFmtId="181" fontId="12" fillId="4"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177" fontId="12" fillId="0" borderId="2" xfId="0" applyNumberFormat="1" applyFont="1" applyFill="1" applyBorder="1" applyAlignment="1">
      <alignment horizontal="center" vertical="center" wrapText="1"/>
    </xf>
    <xf numFmtId="177" fontId="12" fillId="0" borderId="2" xfId="0" applyNumberFormat="1" applyFont="1" applyFill="1" applyBorder="1" applyAlignment="1" applyProtection="1">
      <alignment horizontal="center" vertical="center" wrapText="1"/>
    </xf>
    <xf numFmtId="181" fontId="12" fillId="0" borderId="2" xfId="0" applyNumberFormat="1" applyFont="1" applyFill="1" applyBorder="1" applyAlignment="1">
      <alignment horizontal="center" vertical="center" wrapText="1"/>
    </xf>
    <xf numFmtId="181" fontId="29" fillId="0" borderId="0" xfId="0" applyNumberFormat="1" applyFont="1" applyFill="1" applyBorder="1" applyAlignment="1">
      <alignment horizontal="right" vertical="center" wrapText="1"/>
    </xf>
    <xf numFmtId="0" fontId="30" fillId="0" borderId="0" xfId="0" applyFont="1" applyFill="1" applyBorder="1" applyAlignment="1">
      <alignment horizontal="center" vertical="center" wrapText="1"/>
    </xf>
    <xf numFmtId="0" fontId="31" fillId="0" borderId="1" xfId="0" applyFont="1" applyFill="1" applyBorder="1" applyAlignment="1">
      <alignment vertical="center"/>
    </xf>
    <xf numFmtId="0" fontId="32" fillId="0" borderId="7" xfId="0" applyFont="1" applyFill="1" applyBorder="1" applyAlignment="1">
      <alignment vertical="center"/>
    </xf>
    <xf numFmtId="0" fontId="32" fillId="0" borderId="3" xfId="0" applyFont="1" applyFill="1" applyBorder="1" applyAlignment="1">
      <alignment vertical="center"/>
    </xf>
    <xf numFmtId="0" fontId="32" fillId="0" borderId="3" xfId="0" applyFont="1" applyFill="1" applyBorder="1" applyAlignment="1">
      <alignment vertical="center" wrapText="1"/>
    </xf>
    <xf numFmtId="0" fontId="31" fillId="0" borderId="1" xfId="0" applyFont="1" applyFill="1" applyBorder="1" applyAlignment="1">
      <alignment vertical="center" wrapText="1"/>
    </xf>
    <xf numFmtId="0" fontId="32" fillId="0" borderId="7" xfId="0" applyFont="1" applyFill="1" applyBorder="1" applyAlignment="1">
      <alignment vertical="center" wrapText="1"/>
    </xf>
    <xf numFmtId="178" fontId="32" fillId="0" borderId="7" xfId="0" applyNumberFormat="1" applyFont="1" applyFill="1" applyBorder="1" applyAlignment="1">
      <alignment vertical="center"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光2幕墙清单20100511" xfId="49"/>
    <cellStyle name="Normal" xfId="50"/>
    <cellStyle name="常规_非标箱报价清单珠海万科魅力之城花园9~20#楼" xfId="51"/>
    <cellStyle name="常规 7" xfId="52"/>
    <cellStyle name="常规_常规项目清单比价表" xfId="53"/>
    <cellStyle name="常规_V1V2型精装修工程报价汇总表" xfId="54"/>
    <cellStyle name="常规 10 2" xfId="55"/>
    <cellStyle name="常规 3 3" xfId="56"/>
    <cellStyle name="RowLevel_0" xfId="57"/>
    <cellStyle name="常规 3 3 2" xfId="58"/>
    <cellStyle name="常规 10 2 2" xfId="59"/>
    <cellStyle name="常规_万科合院木地板结算审核表" xfId="60"/>
    <cellStyle name="常规_结算审批表xls" xfId="61"/>
  </cellStyles>
  <dxfs count="1">
    <dxf>
      <font>
        <color rgb="FF9C0006"/>
      </font>
      <fill>
        <patternFill patternType="solid">
          <bgColor rgb="FFFFC7CE"/>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478;&#24066;&#20844;&#21496;\&#25307;&#26631;&#25511;&#21046;&#20215;\&#23792;&#23578;&#19977;&#26399;&#20027;&#20307;\&#23792;&#23578;&#19977;&#26399;&#25511;&#21046;&#20215;\&#25511;&#21046;&#20215;&#25253;&#32929;&#20221;\&#22686;&#20540;&#31246;&#27169;&#24335;\&#29664;&#28023;&#20844;&#21496;\&#21313;&#23383;&#38376;&#22269;&#38469;&#31038;&#21306;\&#20998;&#39033;&#24037;&#31243;\&#20027;&#20307;\&#32511;&#27915;&#28286;\0&#12289;&#21326;&#21457;&#32511;&#27915;&#28286;&#20027;&#20307;&#24314;&#23433;&#24037;&#31243;&#25307;&#26631;&#25511;&#21046;&#20215;2015.08.07&#65288;&#26681;&#25454;&#20844;&#21496;&#39046;&#23548;&#35201;&#27714;&#22312;20150728&#29256;&#26412;&#30340;&#22522;&#30784;&#19978;+3%25&#65289;\&#21508;&#24037;&#31243;&#25991;&#26723;\&#21335;&#28023;&#31048;&#31119;&#21335;&#28286;&#21322;&#23707;\&#27915;&#27004;\A12b&#23627;&#22411;\A12b&#23627;&#22411;&#32467;&#26500;&#24037;&#31243;&#3732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备注"/>
      <sheetName val="管桩"/>
      <sheetName val="承台基础"/>
      <sheetName val="地梁"/>
      <sheetName val="异柱"/>
      <sheetName val="矩柱"/>
      <sheetName val="构造柱"/>
      <sheetName val="电梯井壁"/>
      <sheetName val="直梁"/>
      <sheetName val="圈梁"/>
      <sheetName val="楼板"/>
      <sheetName val="挑檐"/>
      <sheetName val="栏板"/>
      <sheetName val="空调板"/>
      <sheetName val="雨篷"/>
      <sheetName val="梯板"/>
      <sheetName val="门窗表"/>
      <sheetName val="骨浆计算式(备)"/>
      <sheetName val="计算式明细"/>
      <sheetName val="墙面工程"/>
      <sheetName val="PUR资料库"/>
      <sheetName val="#REF!"/>
      <sheetName val="sum(Flooring )"/>
      <sheetName val="汇总表"/>
      <sheetName val="工程量表"/>
      <sheetName val="2清单编制说明"/>
      <sheetName val="底板"/>
      <sheetName val="单位库"/>
      <sheetName val="清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0"/>
  <sheetViews>
    <sheetView view="pageBreakPreview" zoomScaleNormal="100" workbookViewId="0">
      <selection activeCell="A11" sqref="A11"/>
    </sheetView>
  </sheetViews>
  <sheetFormatPr defaultColWidth="9" defaultRowHeight="13.5"/>
  <cols>
    <col min="1" max="1" width="94.6333333333333" customWidth="1"/>
  </cols>
  <sheetData>
    <row r="1" ht="50" customHeight="1" spans="1:1">
      <c r="A1" s="140" t="s">
        <v>0</v>
      </c>
    </row>
    <row r="2" ht="30" customHeight="1" spans="1:1">
      <c r="A2" s="141" t="s">
        <v>1</v>
      </c>
    </row>
    <row r="3" ht="20" customHeight="1" spans="1:1">
      <c r="A3" s="142" t="s">
        <v>2</v>
      </c>
    </row>
    <row r="4" ht="20" customHeight="1" spans="1:1">
      <c r="A4" s="142" t="s">
        <v>3</v>
      </c>
    </row>
    <row r="5" ht="20" customHeight="1" spans="1:1">
      <c r="A5" s="143" t="s">
        <v>4</v>
      </c>
    </row>
    <row r="6" ht="30" customHeight="1" spans="1:1">
      <c r="A6" s="141" t="s">
        <v>5</v>
      </c>
    </row>
    <row r="7" ht="36" customHeight="1" spans="1:1">
      <c r="A7" s="144" t="s">
        <v>6</v>
      </c>
    </row>
    <row r="8" ht="30" customHeight="1" spans="1:1">
      <c r="A8" s="141" t="s">
        <v>7</v>
      </c>
    </row>
    <row r="9" ht="34" customHeight="1" spans="1:1">
      <c r="A9" s="144" t="s">
        <v>8</v>
      </c>
    </row>
    <row r="10" ht="30" customHeight="1" spans="1:1">
      <c r="A10" s="145" t="s">
        <v>9</v>
      </c>
    </row>
    <row r="11" ht="89" customHeight="1" spans="1:1">
      <c r="A11" s="146" t="s">
        <v>10</v>
      </c>
    </row>
    <row r="12" ht="30" customHeight="1" spans="1:1">
      <c r="A12" s="141" t="s">
        <v>11</v>
      </c>
    </row>
    <row r="13" ht="25" customHeight="1" spans="1:1">
      <c r="A13" s="142" t="s">
        <v>12</v>
      </c>
    </row>
    <row r="14" ht="25" customHeight="1" spans="1:1">
      <c r="A14" s="147" t="s">
        <v>13</v>
      </c>
    </row>
    <row r="15" ht="48" customHeight="1" spans="1:1">
      <c r="A15" s="147" t="s">
        <v>14</v>
      </c>
    </row>
    <row r="16" ht="35" customHeight="1" spans="1:1">
      <c r="A16" s="147"/>
    </row>
    <row r="17" ht="25" customHeight="1" spans="1:1">
      <c r="A17" s="147"/>
    </row>
    <row r="18" ht="25" customHeight="1" spans="1:1">
      <c r="A18" s="147"/>
    </row>
    <row r="19" ht="25" customHeight="1" spans="1:1">
      <c r="A19" s="147"/>
    </row>
    <row r="20" ht="35" customHeight="1" spans="1:1">
      <c r="A20" s="144"/>
    </row>
  </sheetData>
  <printOptions horizontalCentered="1"/>
  <pageMargins left="0.751388888888889" right="0.751388888888889" top="0.550694444444444" bottom="0.590277777777778" header="0.5" footer="0.354166666666667"/>
  <pageSetup paperSize="9" scale="91" orientation="portrait" blackAndWhite="1" horizontalDpi="600"/>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outlinePr summaryBelow="0"/>
    <pageSetUpPr fitToPage="1"/>
  </sheetPr>
  <dimension ref="A1:M77"/>
  <sheetViews>
    <sheetView view="pageBreakPreview" zoomScaleNormal="100" workbookViewId="0">
      <pane ySplit="3" topLeftCell="A4" activePane="bottomLeft" state="frozen"/>
      <selection/>
      <selection pane="bottomLeft" activeCell="J11" sqref="J11"/>
    </sheetView>
  </sheetViews>
  <sheetFormatPr defaultColWidth="10" defaultRowHeight="11.25"/>
  <cols>
    <col min="1" max="1" width="8.63333333333333" style="123" customWidth="1"/>
    <col min="2" max="2" width="28.1916666666667" style="124" customWidth="1"/>
    <col min="3" max="3" width="19.7166666666667" style="123" customWidth="1"/>
    <col min="4" max="4" width="14.375" style="123" customWidth="1"/>
    <col min="5" max="7" width="19.7166666666667" style="125" customWidth="1"/>
    <col min="8" max="8" width="16.0666666666667" style="126" customWidth="1"/>
    <col min="9" max="9" width="10" style="123"/>
    <col min="10" max="10" width="11.125" style="123"/>
    <col min="11" max="16384" width="10" style="123"/>
  </cols>
  <sheetData>
    <row r="1" s="121" customFormat="1" ht="48" customHeight="1" spans="1:8">
      <c r="A1" s="127" t="s">
        <v>15</v>
      </c>
      <c r="B1" s="128"/>
      <c r="C1" s="127"/>
      <c r="D1" s="127"/>
      <c r="E1" s="129"/>
      <c r="F1" s="129"/>
      <c r="G1" s="129"/>
      <c r="H1" s="127"/>
    </row>
    <row r="2" s="121" customFormat="1" ht="24" customHeight="1" spans="1:8">
      <c r="A2" s="130" t="s">
        <v>16</v>
      </c>
      <c r="B2" s="131"/>
      <c r="C2" s="130"/>
      <c r="D2" s="130"/>
      <c r="E2" s="132"/>
      <c r="F2" s="132"/>
      <c r="G2" s="132"/>
      <c r="H2" s="130"/>
    </row>
    <row r="3" s="122" customFormat="1" ht="36" customHeight="1" spans="1:8">
      <c r="A3" s="133" t="s">
        <v>17</v>
      </c>
      <c r="B3" s="133" t="s">
        <v>18</v>
      </c>
      <c r="C3" s="133" t="s">
        <v>19</v>
      </c>
      <c r="D3" s="133" t="s">
        <v>20</v>
      </c>
      <c r="E3" s="134" t="s">
        <v>21</v>
      </c>
      <c r="F3" s="134" t="s">
        <v>22</v>
      </c>
      <c r="G3" s="134" t="s">
        <v>23</v>
      </c>
      <c r="H3" s="133" t="s">
        <v>24</v>
      </c>
    </row>
    <row r="4" s="122" customFormat="1" ht="36" customHeight="1" spans="1:8">
      <c r="A4" s="135">
        <v>1</v>
      </c>
      <c r="B4" s="136" t="s">
        <v>25</v>
      </c>
      <c r="C4" s="137">
        <v>274.13</v>
      </c>
      <c r="D4" s="137">
        <v>1</v>
      </c>
      <c r="E4" s="138">
        <f>+地上装修工程!K4</f>
        <v>0</v>
      </c>
      <c r="F4" s="138">
        <f>E4*D4</f>
        <v>0</v>
      </c>
      <c r="G4" s="138">
        <f t="shared" ref="G4:G17" si="0">+E4/C4</f>
        <v>0</v>
      </c>
      <c r="H4" s="136"/>
    </row>
    <row r="5" s="122" customFormat="1" ht="36" customHeight="1" spans="1:8">
      <c r="A5" s="135">
        <v>2</v>
      </c>
      <c r="B5" s="136" t="s">
        <v>26</v>
      </c>
      <c r="C5" s="137">
        <v>303.3</v>
      </c>
      <c r="D5" s="137">
        <v>1</v>
      </c>
      <c r="E5" s="138">
        <f>+地上装修工程!K168</f>
        <v>0</v>
      </c>
      <c r="F5" s="138">
        <f t="shared" ref="F5:F14" si="1">E5*D5</f>
        <v>0</v>
      </c>
      <c r="G5" s="138">
        <f t="shared" si="0"/>
        <v>0</v>
      </c>
      <c r="H5" s="136"/>
    </row>
    <row r="6" s="122" customFormat="1" ht="36" customHeight="1" spans="1:8">
      <c r="A6" s="135">
        <v>3</v>
      </c>
      <c r="B6" s="136" t="s">
        <v>27</v>
      </c>
      <c r="C6" s="137">
        <v>59.41</v>
      </c>
      <c r="D6" s="137">
        <v>28</v>
      </c>
      <c r="E6" s="138">
        <f>+地上装修工程!K336</f>
        <v>0</v>
      </c>
      <c r="F6" s="138">
        <f t="shared" si="1"/>
        <v>0</v>
      </c>
      <c r="G6" s="138">
        <f t="shared" si="0"/>
        <v>0</v>
      </c>
      <c r="H6" s="136"/>
    </row>
    <row r="7" s="122" customFormat="1" ht="36" customHeight="1" spans="1:8">
      <c r="A7" s="135">
        <v>4</v>
      </c>
      <c r="B7" s="136" t="s">
        <v>28</v>
      </c>
      <c r="C7" s="137">
        <v>887.57</v>
      </c>
      <c r="D7" s="137">
        <v>1</v>
      </c>
      <c r="E7" s="138">
        <f>+地上装修工程!K448</f>
        <v>0</v>
      </c>
      <c r="F7" s="138">
        <f t="shared" si="1"/>
        <v>0</v>
      </c>
      <c r="G7" s="138">
        <f t="shared" si="0"/>
        <v>0</v>
      </c>
      <c r="H7" s="136"/>
    </row>
    <row r="8" s="122" customFormat="1" ht="36" customHeight="1" spans="1:8">
      <c r="A8" s="135">
        <v>5</v>
      </c>
      <c r="B8" s="136" t="s">
        <v>29</v>
      </c>
      <c r="C8" s="137">
        <v>278.86</v>
      </c>
      <c r="D8" s="137">
        <v>1</v>
      </c>
      <c r="E8" s="138">
        <f>+地上装修工程!K911</f>
        <v>0</v>
      </c>
      <c r="F8" s="138">
        <f t="shared" si="1"/>
        <v>0</v>
      </c>
      <c r="G8" s="138">
        <f t="shared" si="0"/>
        <v>0</v>
      </c>
      <c r="H8" s="136"/>
    </row>
    <row r="9" s="122" customFormat="1" ht="36" customHeight="1" spans="1:8">
      <c r="A9" s="135">
        <v>6</v>
      </c>
      <c r="B9" s="136" t="s">
        <v>30</v>
      </c>
      <c r="C9" s="137">
        <v>103.84</v>
      </c>
      <c r="D9" s="137">
        <v>1</v>
      </c>
      <c r="E9" s="138">
        <f>+地下室装修工程!K4</f>
        <v>0</v>
      </c>
      <c r="F9" s="138">
        <f t="shared" si="1"/>
        <v>0</v>
      </c>
      <c r="G9" s="138">
        <f t="shared" si="0"/>
        <v>0</v>
      </c>
      <c r="H9" s="136"/>
    </row>
    <row r="10" s="122" customFormat="1" ht="36" customHeight="1" spans="1:8">
      <c r="A10" s="135">
        <v>7</v>
      </c>
      <c r="B10" s="136" t="s">
        <v>31</v>
      </c>
      <c r="C10" s="137">
        <v>92.34</v>
      </c>
      <c r="D10" s="137">
        <v>1</v>
      </c>
      <c r="E10" s="138">
        <f>+地下室装修工程!K105</f>
        <v>0</v>
      </c>
      <c r="F10" s="138">
        <f t="shared" si="1"/>
        <v>0</v>
      </c>
      <c r="G10" s="138">
        <f t="shared" si="0"/>
        <v>0</v>
      </c>
      <c r="H10" s="136"/>
    </row>
    <row r="11" s="122" customFormat="1" ht="36" customHeight="1" spans="1:8">
      <c r="A11" s="135">
        <v>8</v>
      </c>
      <c r="B11" s="136" t="s">
        <v>32</v>
      </c>
      <c r="C11" s="137">
        <v>77.93</v>
      </c>
      <c r="D11" s="137">
        <v>1</v>
      </c>
      <c r="E11" s="138">
        <f>+地下室装修工程!K204</f>
        <v>0</v>
      </c>
      <c r="F11" s="138">
        <f t="shared" si="1"/>
        <v>0</v>
      </c>
      <c r="G11" s="138">
        <f t="shared" si="0"/>
        <v>0</v>
      </c>
      <c r="H11" s="136"/>
    </row>
    <row r="12" s="122" customFormat="1" ht="36" customHeight="1" spans="1:8">
      <c r="A12" s="135">
        <v>9</v>
      </c>
      <c r="B12" s="136" t="s">
        <v>33</v>
      </c>
      <c r="C12" s="137">
        <f>2.34*2</f>
        <v>4.68</v>
      </c>
      <c r="D12" s="137">
        <v>4</v>
      </c>
      <c r="E12" s="138">
        <f>+电梯轿厢装修工程!K44</f>
        <v>0</v>
      </c>
      <c r="F12" s="138">
        <f t="shared" si="1"/>
        <v>0</v>
      </c>
      <c r="G12" s="138">
        <f t="shared" si="0"/>
        <v>0</v>
      </c>
      <c r="H12" s="136" t="s">
        <v>34</v>
      </c>
    </row>
    <row r="13" s="122" customFormat="1" ht="36" customHeight="1" spans="1:8">
      <c r="A13" s="135">
        <v>10</v>
      </c>
      <c r="B13" s="136" t="s">
        <v>35</v>
      </c>
      <c r="C13" s="137">
        <f>C4+C5+C6*D6+C7+C8+C9+C10+C11+C12*D12</f>
        <v>3700.17</v>
      </c>
      <c r="D13" s="137">
        <v>1</v>
      </c>
      <c r="E13" s="138">
        <f>会所安装工程量清单!K223</f>
        <v>0</v>
      </c>
      <c r="F13" s="138">
        <f t="shared" si="1"/>
        <v>0</v>
      </c>
      <c r="G13" s="138">
        <f t="shared" si="0"/>
        <v>0</v>
      </c>
      <c r="H13" s="136"/>
    </row>
    <row r="14" s="122" customFormat="1" ht="36" customHeight="1" spans="1:8">
      <c r="A14" s="135">
        <v>11</v>
      </c>
      <c r="B14" s="136" t="s">
        <v>36</v>
      </c>
      <c r="C14" s="137">
        <f>C13</f>
        <v>3700.17</v>
      </c>
      <c r="D14" s="137">
        <v>1</v>
      </c>
      <c r="E14" s="138">
        <f>+措施费!K7</f>
        <v>0</v>
      </c>
      <c r="F14" s="138">
        <f t="shared" si="1"/>
        <v>0</v>
      </c>
      <c r="G14" s="138">
        <f t="shared" si="0"/>
        <v>0</v>
      </c>
      <c r="H14" s="136"/>
    </row>
    <row r="15" s="122" customFormat="1" ht="36" customHeight="1" spans="1:8">
      <c r="A15" s="135">
        <v>12</v>
      </c>
      <c r="B15" s="136" t="s">
        <v>37</v>
      </c>
      <c r="C15" s="137">
        <f>+$C$14</f>
        <v>3700.17</v>
      </c>
      <c r="D15" s="137"/>
      <c r="E15" s="138"/>
      <c r="F15" s="138">
        <f>SUM(F4:F14)</f>
        <v>0</v>
      </c>
      <c r="G15" s="138">
        <f t="shared" si="0"/>
        <v>0</v>
      </c>
      <c r="H15" s="136"/>
    </row>
    <row r="16" s="122" customFormat="1" ht="36" customHeight="1" spans="1:8">
      <c r="A16" s="135">
        <v>13</v>
      </c>
      <c r="B16" s="136" t="s">
        <v>38</v>
      </c>
      <c r="C16" s="137">
        <f>+$C$14</f>
        <v>3700.17</v>
      </c>
      <c r="D16" s="137"/>
      <c r="E16" s="138"/>
      <c r="F16" s="138">
        <f>+F15*9%</f>
        <v>0</v>
      </c>
      <c r="G16" s="138">
        <f t="shared" si="0"/>
        <v>0</v>
      </c>
      <c r="H16" s="136"/>
    </row>
    <row r="17" s="123" customFormat="1" ht="36" customHeight="1" spans="1:13">
      <c r="A17" s="135"/>
      <c r="B17" s="136" t="s">
        <v>39</v>
      </c>
      <c r="C17" s="137">
        <f>+$C$14</f>
        <v>3700.17</v>
      </c>
      <c r="D17" s="137"/>
      <c r="E17" s="138"/>
      <c r="F17" s="138">
        <f>+F15+F16</f>
        <v>0</v>
      </c>
      <c r="G17" s="138">
        <f t="shared" si="0"/>
        <v>0</v>
      </c>
      <c r="H17" s="136"/>
      <c r="J17" s="122"/>
      <c r="M17" s="122"/>
    </row>
    <row r="18" s="123" customFormat="1" ht="28" customHeight="1" spans="1:13">
      <c r="B18" s="124"/>
      <c r="E18" s="125"/>
      <c r="F18" s="125"/>
      <c r="G18" s="125"/>
      <c r="H18" s="126"/>
      <c r="J18" s="122"/>
      <c r="M18" s="122"/>
    </row>
    <row r="19" s="123" customFormat="1" ht="18.75" spans="1:13">
      <c r="B19" s="124"/>
      <c r="E19" s="139"/>
      <c r="F19" s="139"/>
      <c r="G19" s="125"/>
      <c r="H19" s="126"/>
      <c r="J19" s="122"/>
      <c r="M19" s="122"/>
    </row>
    <row r="20" s="123" customFormat="1" ht="29" customHeight="1" spans="1:13">
      <c r="B20" s="124"/>
      <c r="E20" s="125"/>
      <c r="F20" s="125"/>
      <c r="G20" s="125"/>
      <c r="H20" s="126"/>
      <c r="J20" s="122"/>
      <c r="M20" s="122"/>
    </row>
    <row r="21" spans="1:13">
      <c r="J21" s="122"/>
      <c r="M21" s="122"/>
    </row>
    <row r="22" spans="1:13">
      <c r="J22" s="122"/>
      <c r="M22" s="122"/>
    </row>
    <row r="23" spans="1:13">
      <c r="J23" s="122"/>
      <c r="M23" s="122"/>
    </row>
    <row r="24" spans="1:13">
      <c r="J24" s="122"/>
      <c r="M24" s="122"/>
    </row>
    <row r="25" spans="1:13">
      <c r="J25" s="122"/>
      <c r="M25" s="122"/>
    </row>
    <row r="26" spans="1:13">
      <c r="J26" s="122"/>
      <c r="M26" s="122"/>
    </row>
    <row r="27" spans="1:13">
      <c r="J27" s="122"/>
      <c r="M27" s="122"/>
    </row>
    <row r="28" spans="1:13">
      <c r="J28" s="122"/>
      <c r="M28" s="122"/>
    </row>
    <row r="29" spans="1:13">
      <c r="J29" s="122"/>
      <c r="M29" s="122"/>
    </row>
    <row r="30" spans="1:13">
      <c r="J30" s="122"/>
      <c r="M30" s="122"/>
    </row>
    <row r="31" spans="1:13">
      <c r="J31" s="122"/>
      <c r="M31" s="122"/>
    </row>
    <row r="32" spans="1:13">
      <c r="J32" s="122"/>
      <c r="M32" s="122"/>
    </row>
    <row r="33" spans="10:13">
      <c r="J33" s="122"/>
      <c r="M33" s="122"/>
    </row>
    <row r="34" spans="10:13">
      <c r="J34" s="122"/>
      <c r="M34" s="122"/>
    </row>
    <row r="35" spans="10:13">
      <c r="J35" s="122"/>
      <c r="M35" s="122"/>
    </row>
    <row r="36" spans="10:13">
      <c r="J36" s="122"/>
      <c r="M36" s="122"/>
    </row>
    <row r="37" spans="10:13">
      <c r="J37" s="122"/>
      <c r="M37" s="122"/>
    </row>
    <row r="38" spans="10:13">
      <c r="M38" s="122"/>
    </row>
    <row r="39" spans="10:13">
      <c r="M39" s="122"/>
    </row>
    <row r="40" spans="10:13">
      <c r="M40" s="122"/>
    </row>
    <row r="41" spans="10:13">
      <c r="M41" s="122"/>
    </row>
    <row r="42" spans="10:13">
      <c r="M42" s="122"/>
    </row>
    <row r="43" spans="10:13">
      <c r="M43" s="122"/>
    </row>
    <row r="44" spans="10:13">
      <c r="M44" s="122"/>
    </row>
    <row r="45" spans="10:13">
      <c r="M45" s="122"/>
    </row>
    <row r="46" spans="10:13">
      <c r="M46" s="122"/>
    </row>
    <row r="47" spans="10:13">
      <c r="M47" s="122"/>
    </row>
    <row r="48" spans="10:13">
      <c r="M48" s="122"/>
    </row>
    <row r="49" spans="13:13">
      <c r="M49" s="122"/>
    </row>
    <row r="50" spans="13:13">
      <c r="M50" s="122"/>
    </row>
    <row r="51" spans="13:13">
      <c r="M51" s="122"/>
    </row>
    <row r="52" spans="13:13">
      <c r="M52" s="122"/>
    </row>
    <row r="53" spans="13:13">
      <c r="M53" s="122"/>
    </row>
    <row r="54" spans="13:13">
      <c r="M54" s="122"/>
    </row>
    <row r="55" spans="13:13">
      <c r="M55" s="122"/>
    </row>
    <row r="56" spans="13:13">
      <c r="M56" s="122"/>
    </row>
    <row r="57" spans="13:13">
      <c r="M57" s="122"/>
    </row>
    <row r="58" spans="13:13">
      <c r="M58" s="122"/>
    </row>
    <row r="59" spans="13:13">
      <c r="M59" s="122"/>
    </row>
    <row r="60" spans="13:13">
      <c r="M60" s="122"/>
    </row>
    <row r="61" spans="13:13">
      <c r="M61" s="122"/>
    </row>
    <row r="62" spans="13:13">
      <c r="M62" s="122"/>
    </row>
    <row r="63" spans="13:13">
      <c r="M63" s="122"/>
    </row>
    <row r="64" spans="13:13">
      <c r="M64" s="122"/>
    </row>
    <row r="65" spans="13:13">
      <c r="M65" s="122"/>
    </row>
    <row r="66" spans="13:13">
      <c r="M66" s="122"/>
    </row>
    <row r="67" spans="13:13">
      <c r="M67" s="122"/>
    </row>
    <row r="68" spans="13:13">
      <c r="M68" s="122"/>
    </row>
    <row r="69" spans="13:13">
      <c r="M69" s="122"/>
    </row>
    <row r="70" spans="13:13">
      <c r="M70" s="122"/>
    </row>
    <row r="71" spans="13:13">
      <c r="M71" s="122"/>
    </row>
    <row r="72" spans="13:13">
      <c r="M72" s="122"/>
    </row>
    <row r="73" spans="13:13">
      <c r="M73" s="122"/>
    </row>
    <row r="74" spans="13:13">
      <c r="M74" s="122"/>
    </row>
    <row r="75" spans="13:13">
      <c r="M75" s="122"/>
    </row>
    <row r="76" spans="13:13">
      <c r="M76" s="122"/>
    </row>
    <row r="77" spans="13:13">
      <c r="M77" s="122"/>
    </row>
  </sheetData>
  <mergeCells count="2">
    <mergeCell ref="A1:H1"/>
    <mergeCell ref="A2:H2"/>
  </mergeCells>
  <conditionalFormatting sqref="B3">
    <cfRule type="duplicateValues" dxfId="0" priority="17"/>
  </conditionalFormatting>
  <conditionalFormatting sqref="B14">
    <cfRule type="duplicateValues" dxfId="0" priority="4"/>
  </conditionalFormatting>
  <conditionalFormatting sqref="B17">
    <cfRule type="duplicateValues" dxfId="0" priority="3"/>
  </conditionalFormatting>
  <conditionalFormatting sqref="B4:B8">
    <cfRule type="duplicateValues" dxfId="0" priority="8"/>
  </conditionalFormatting>
  <conditionalFormatting sqref="B9:B13">
    <cfRule type="duplicateValues" dxfId="0" priority="1"/>
  </conditionalFormatting>
  <conditionalFormatting sqref="B15:B16">
    <cfRule type="duplicateValues" dxfId="0" priority="9"/>
  </conditionalFormatting>
  <printOptions horizontalCentered="1"/>
  <pageMargins left="0.472222222222222" right="0.472222222222222" top="0.590277777777778" bottom="0.590277777777778" header="0.393055555555556" footer="0.393055555555556"/>
  <pageSetup paperSize="9" scale="65" fitToHeight="0" orientation="portrait" blackAndWhite="1"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outlinePr summaryBelow="0"/>
    <pageSetUpPr fitToPage="1"/>
  </sheetPr>
  <dimension ref="A1:XFB1038"/>
  <sheetViews>
    <sheetView tabSelected="1" view="pageBreakPreview" zoomScaleNormal="100" workbookViewId="0">
      <pane ySplit="3" topLeftCell="A4" activePane="bottomLeft" state="frozen"/>
      <selection/>
      <selection pane="bottomLeft" activeCell="F7" sqref="F7"/>
    </sheetView>
  </sheetViews>
  <sheetFormatPr defaultColWidth="10" defaultRowHeight="11.25"/>
  <cols>
    <col min="1" max="1" width="6.98333333333333" style="1" customWidth="1"/>
    <col min="2" max="2" width="24.1083333333333" style="3" customWidth="1"/>
    <col min="3" max="3" width="49" style="1" customWidth="1"/>
    <col min="4" max="4" width="5.63333333333333" style="87" customWidth="1"/>
    <col min="5" max="5" width="12.3833333333333" style="88" customWidth="1"/>
    <col min="6" max="9" width="12.3833333333333" style="88" customWidth="1" outlineLevel="1"/>
    <col min="10" max="10" width="12.6333333333333" style="88" customWidth="1"/>
    <col min="11" max="11" width="15.1333333333333" style="89" customWidth="1"/>
    <col min="12" max="12" width="11.5" style="6" customWidth="1"/>
    <col min="13" max="14" width="5.38333333333333" style="1" customWidth="1"/>
    <col min="15" max="15" width="12.5" style="1" customWidth="1"/>
    <col min="16" max="16384" width="10" style="1"/>
  </cols>
  <sheetData>
    <row r="1" s="1" customFormat="1" ht="48" customHeight="1" spans="1:15">
      <c r="A1" s="7" t="s">
        <v>40</v>
      </c>
      <c r="B1" s="8"/>
      <c r="C1" s="9"/>
      <c r="D1" s="9"/>
      <c r="E1" s="90"/>
      <c r="F1" s="90"/>
      <c r="G1" s="90"/>
      <c r="H1" s="90"/>
      <c r="I1" s="90"/>
      <c r="J1" s="90"/>
      <c r="K1" s="91"/>
      <c r="L1" s="9"/>
    </row>
    <row r="2" s="2" customFormat="1" ht="24" customHeight="1" spans="1:15">
      <c r="A2" s="12" t="s">
        <v>17</v>
      </c>
      <c r="B2" s="12" t="s">
        <v>41</v>
      </c>
      <c r="C2" s="12" t="s">
        <v>42</v>
      </c>
      <c r="D2" s="12" t="s">
        <v>43</v>
      </c>
      <c r="E2" s="13" t="s">
        <v>44</v>
      </c>
      <c r="F2" s="14" t="s">
        <v>45</v>
      </c>
      <c r="G2" s="14" t="s">
        <v>46</v>
      </c>
      <c r="H2" s="14" t="s">
        <v>47</v>
      </c>
      <c r="I2" s="15" t="s">
        <v>48</v>
      </c>
      <c r="J2" s="14" t="s">
        <v>49</v>
      </c>
      <c r="K2" s="16" t="s">
        <v>50</v>
      </c>
      <c r="L2" s="12" t="s">
        <v>24</v>
      </c>
      <c r="M2" s="2" t="s">
        <v>51</v>
      </c>
    </row>
    <row r="3" s="2" customFormat="1" ht="12" customHeight="1" spans="1:15">
      <c r="A3" s="17"/>
      <c r="B3" s="17"/>
      <c r="C3" s="17"/>
      <c r="D3" s="17"/>
      <c r="E3" s="18"/>
      <c r="F3" s="19"/>
      <c r="G3" s="19"/>
      <c r="H3" s="19"/>
      <c r="I3" s="15"/>
      <c r="J3" s="19"/>
      <c r="K3" s="20"/>
      <c r="L3" s="17"/>
      <c r="M3" s="2">
        <v>1</v>
      </c>
      <c r="N3" s="2">
        <v>2</v>
      </c>
    </row>
    <row r="4" s="86" customFormat="1" ht="24" customHeight="1" spans="1:15">
      <c r="A4" s="92" t="s">
        <v>52</v>
      </c>
      <c r="B4" s="93" t="s">
        <v>25</v>
      </c>
      <c r="C4" s="93"/>
      <c r="D4" s="94"/>
      <c r="E4" s="95"/>
      <c r="F4" s="95"/>
      <c r="G4" s="95"/>
      <c r="H4" s="95"/>
      <c r="I4" s="95"/>
      <c r="J4" s="95"/>
      <c r="K4" s="23">
        <f>SUM(K5:K167)</f>
        <v>0</v>
      </c>
      <c r="L4" s="96"/>
    </row>
    <row r="5" s="86" customFormat="1" ht="24" customHeight="1" outlineLevel="1" spans="1:15">
      <c r="A5" s="92" t="s">
        <v>53</v>
      </c>
      <c r="B5" s="93" t="s">
        <v>54</v>
      </c>
      <c r="C5" s="93"/>
      <c r="D5" s="94"/>
      <c r="E5" s="95"/>
      <c r="F5" s="95"/>
      <c r="G5" s="95"/>
      <c r="H5" s="95"/>
      <c r="I5" s="95"/>
      <c r="J5" s="95"/>
      <c r="K5" s="23"/>
      <c r="L5" s="96"/>
      <c r="O5" s="86" t="str">
        <f>_xlfn.DISPIMG("ID_7F15BB9A08234B43B10CC616E0663C90",1)</f>
        <v>=DISPIMG("ID_7F15BB9A08234B43B10CC616E0663C90",1)</v>
      </c>
    </row>
    <row r="6" s="86" customFormat="1" ht="24" customHeight="1" outlineLevel="1" spans="1:15">
      <c r="A6" s="97"/>
      <c r="B6" s="98" t="s">
        <v>55</v>
      </c>
      <c r="C6" s="99"/>
      <c r="D6" s="100"/>
      <c r="E6" s="101"/>
      <c r="F6" s="101"/>
      <c r="G6" s="101"/>
      <c r="H6" s="101"/>
      <c r="I6" s="101"/>
      <c r="J6" s="101"/>
      <c r="K6" s="102"/>
      <c r="L6" s="96"/>
    </row>
    <row r="7" s="86" customFormat="1" ht="96" outlineLevel="2" spans="1:15">
      <c r="A7" s="103">
        <f>1+N(A6)</f>
        <v>1</v>
      </c>
      <c r="B7" s="98" t="s">
        <v>56</v>
      </c>
      <c r="C7" s="99" t="s">
        <v>57</v>
      </c>
      <c r="D7" s="100" t="s">
        <v>58</v>
      </c>
      <c r="E7" s="101">
        <v>18.57</v>
      </c>
      <c r="F7" s="101"/>
      <c r="G7" s="101"/>
      <c r="H7" s="27"/>
      <c r="I7" s="27">
        <f>(F7+G7+H7)*$I$3</f>
        <v>0</v>
      </c>
      <c r="J7" s="28">
        <f>ROUND(SUM(F7:I7),2)</f>
        <v>0</v>
      </c>
      <c r="K7" s="29">
        <f>ROUND(J7*E7,2)</f>
        <v>0</v>
      </c>
      <c r="L7" s="96"/>
      <c r="M7" s="86">
        <v>1</v>
      </c>
    </row>
    <row r="8" s="86" customFormat="1" ht="108" outlineLevel="2" spans="1:15">
      <c r="A8" s="103">
        <f>1+N(A7)</f>
        <v>2</v>
      </c>
      <c r="B8" s="98" t="s">
        <v>59</v>
      </c>
      <c r="C8" s="99" t="s">
        <v>60</v>
      </c>
      <c r="D8" s="100" t="s">
        <v>58</v>
      </c>
      <c r="E8" s="101">
        <v>10.62</v>
      </c>
      <c r="F8" s="101"/>
      <c r="G8" s="101"/>
      <c r="H8" s="101"/>
      <c r="I8" s="27">
        <f>(F8+G8+H8)*$I$3</f>
        <v>0</v>
      </c>
      <c r="J8" s="28">
        <f>ROUND(SUM(F8:I8),2)</f>
        <v>0</v>
      </c>
      <c r="K8" s="29">
        <f>ROUND(J8*E8,2)</f>
        <v>0</v>
      </c>
      <c r="L8" s="96"/>
      <c r="M8" s="86">
        <v>1</v>
      </c>
    </row>
    <row r="9" s="86" customFormat="1" ht="96" outlineLevel="2" spans="1:15">
      <c r="A9" s="103">
        <f>1+N(A8)</f>
        <v>3</v>
      </c>
      <c r="B9" s="98" t="s">
        <v>61</v>
      </c>
      <c r="C9" s="99" t="s">
        <v>62</v>
      </c>
      <c r="D9" s="100" t="s">
        <v>58</v>
      </c>
      <c r="E9" s="101">
        <v>2.58</v>
      </c>
      <c r="F9" s="101"/>
      <c r="G9" s="101"/>
      <c r="H9" s="27"/>
      <c r="I9" s="27">
        <f>(F9+G9+H9)*$I$3</f>
        <v>0</v>
      </c>
      <c r="J9" s="28">
        <f>ROUND(SUM(F9:I9),2)</f>
        <v>0</v>
      </c>
      <c r="K9" s="29">
        <f>ROUND(J9*E9,2)</f>
        <v>0</v>
      </c>
      <c r="L9" s="96"/>
      <c r="M9" s="86">
        <v>1</v>
      </c>
    </row>
    <row r="10" s="86" customFormat="1" ht="36" outlineLevel="2" spans="1:15">
      <c r="A10" s="103">
        <f>1+N(A9)</f>
        <v>4</v>
      </c>
      <c r="B10" s="98" t="s">
        <v>63</v>
      </c>
      <c r="C10" s="99" t="s">
        <v>64</v>
      </c>
      <c r="D10" s="100" t="s">
        <v>65</v>
      </c>
      <c r="E10" s="101">
        <v>12.77</v>
      </c>
      <c r="F10" s="101"/>
      <c r="G10" s="101"/>
      <c r="H10" s="101"/>
      <c r="I10" s="27">
        <f>(F10+G10+H10)*$I$3</f>
        <v>0</v>
      </c>
      <c r="J10" s="28">
        <f>ROUND(SUM(F10:I10),2)</f>
        <v>0</v>
      </c>
      <c r="K10" s="29">
        <f>ROUND(J10*E10,2)</f>
        <v>0</v>
      </c>
      <c r="L10" s="96"/>
      <c r="M10" s="86">
        <v>1</v>
      </c>
    </row>
    <row r="11" s="86" customFormat="1" ht="48" outlineLevel="2" spans="1:15">
      <c r="A11" s="103">
        <f>1+N(A10)</f>
        <v>5</v>
      </c>
      <c r="B11" s="98" t="s">
        <v>66</v>
      </c>
      <c r="C11" s="99" t="s">
        <v>67</v>
      </c>
      <c r="D11" s="100" t="s">
        <v>58</v>
      </c>
      <c r="E11" s="101">
        <v>14.77</v>
      </c>
      <c r="F11" s="101"/>
      <c r="G11" s="101"/>
      <c r="H11" s="101"/>
      <c r="I11" s="27">
        <f>(F11+G11+H11)*$I$3</f>
        <v>0</v>
      </c>
      <c r="J11" s="28">
        <f>ROUND(SUM(F11:I11),2)</f>
        <v>0</v>
      </c>
      <c r="K11" s="29">
        <f>ROUND(J11*E11,2)</f>
        <v>0</v>
      </c>
      <c r="L11" s="96"/>
      <c r="M11" s="86">
        <v>1</v>
      </c>
    </row>
    <row r="12" s="86" customFormat="1" ht="24" customHeight="1" outlineLevel="1" spans="1:15">
      <c r="A12" s="97"/>
      <c r="B12" s="98" t="s">
        <v>68</v>
      </c>
      <c r="C12" s="99"/>
      <c r="D12" s="100"/>
      <c r="E12" s="101"/>
      <c r="F12" s="101"/>
      <c r="G12" s="101"/>
      <c r="H12" s="101"/>
      <c r="I12" s="101"/>
      <c r="J12" s="101"/>
      <c r="K12" s="102"/>
      <c r="L12" s="96"/>
    </row>
    <row r="13" s="86" customFormat="1" ht="72" outlineLevel="2" spans="1:15">
      <c r="A13" s="103">
        <f t="shared" ref="A13:A26" si="0">1+N(A12)</f>
        <v>1</v>
      </c>
      <c r="B13" s="104" t="s">
        <v>69</v>
      </c>
      <c r="C13" s="99" t="s">
        <v>70</v>
      </c>
      <c r="D13" s="100" t="s">
        <v>58</v>
      </c>
      <c r="E13" s="101">
        <v>12.933</v>
      </c>
      <c r="F13" s="101"/>
      <c r="G13" s="101"/>
      <c r="H13" s="101"/>
      <c r="I13" s="27">
        <f t="shared" ref="I13:I26" si="1">(F13+G13+H13)*$I$3</f>
        <v>0</v>
      </c>
      <c r="J13" s="28">
        <f t="shared" ref="J13:J26" si="2">ROUND(SUM(F13:I13),2)</f>
        <v>0</v>
      </c>
      <c r="K13" s="29">
        <f t="shared" ref="K13:K26" si="3">ROUND(J13*E13,2)</f>
        <v>0</v>
      </c>
      <c r="L13" s="96"/>
      <c r="M13" s="86">
        <v>1</v>
      </c>
    </row>
    <row r="14" s="86" customFormat="1" ht="96" outlineLevel="2" spans="1:15">
      <c r="A14" s="103">
        <f t="shared" si="0"/>
        <v>2</v>
      </c>
      <c r="B14" s="105" t="s">
        <v>71</v>
      </c>
      <c r="C14" s="106" t="s">
        <v>72</v>
      </c>
      <c r="D14" s="100" t="s">
        <v>58</v>
      </c>
      <c r="E14" s="101">
        <f>58.817+0.727</f>
        <v>59.544</v>
      </c>
      <c r="F14" s="101"/>
      <c r="G14" s="101"/>
      <c r="H14" s="101"/>
      <c r="I14" s="27">
        <f t="shared" si="1"/>
        <v>0</v>
      </c>
      <c r="J14" s="28">
        <f t="shared" si="2"/>
        <v>0</v>
      </c>
      <c r="K14" s="29">
        <f t="shared" si="3"/>
        <v>0</v>
      </c>
      <c r="L14" s="96"/>
      <c r="M14" s="86">
        <v>1</v>
      </c>
    </row>
    <row r="15" s="86" customFormat="1" ht="96" outlineLevel="2" spans="1:15">
      <c r="A15" s="103">
        <f t="shared" si="0"/>
        <v>3</v>
      </c>
      <c r="B15" s="105" t="s">
        <v>73</v>
      </c>
      <c r="C15" s="106" t="s">
        <v>74</v>
      </c>
      <c r="D15" s="100" t="s">
        <v>58</v>
      </c>
      <c r="E15" s="101">
        <v>2.91</v>
      </c>
      <c r="F15" s="101"/>
      <c r="G15" s="101"/>
      <c r="H15" s="101"/>
      <c r="I15" s="27">
        <f t="shared" si="1"/>
        <v>0</v>
      </c>
      <c r="J15" s="28">
        <f t="shared" si="2"/>
        <v>0</v>
      </c>
      <c r="K15" s="29">
        <f t="shared" si="3"/>
        <v>0</v>
      </c>
      <c r="L15" s="96"/>
      <c r="M15" s="86">
        <v>1</v>
      </c>
    </row>
    <row r="16" s="86" customFormat="1" ht="72" outlineLevel="2" spans="1:15">
      <c r="A16" s="103">
        <f t="shared" si="0"/>
        <v>4</v>
      </c>
      <c r="B16" s="105" t="s">
        <v>75</v>
      </c>
      <c r="C16" s="106" t="s">
        <v>76</v>
      </c>
      <c r="D16" s="105" t="s">
        <v>58</v>
      </c>
      <c r="E16" s="101">
        <f>16.107+1*(3-2)</f>
        <v>17.107</v>
      </c>
      <c r="F16" s="101"/>
      <c r="G16" s="101"/>
      <c r="H16" s="101"/>
      <c r="I16" s="27">
        <f t="shared" si="1"/>
        <v>0</v>
      </c>
      <c r="J16" s="28">
        <f t="shared" si="2"/>
        <v>0</v>
      </c>
      <c r="K16" s="29">
        <f t="shared" si="3"/>
        <v>0</v>
      </c>
      <c r="L16" s="96"/>
      <c r="M16" s="86">
        <v>1</v>
      </c>
    </row>
    <row r="17" s="86" customFormat="1" ht="48" outlineLevel="2" spans="1:13">
      <c r="A17" s="103">
        <f t="shared" si="0"/>
        <v>5</v>
      </c>
      <c r="B17" s="105" t="s">
        <v>77</v>
      </c>
      <c r="C17" s="106" t="s">
        <v>78</v>
      </c>
      <c r="D17" s="105" t="s">
        <v>58</v>
      </c>
      <c r="E17" s="101">
        <f>0.29*2*2+0.98*0.26</f>
        <v>1.4148</v>
      </c>
      <c r="F17" s="101"/>
      <c r="G17" s="101"/>
      <c r="H17" s="101"/>
      <c r="I17" s="27">
        <f t="shared" si="1"/>
        <v>0</v>
      </c>
      <c r="J17" s="28">
        <f t="shared" si="2"/>
        <v>0</v>
      </c>
      <c r="K17" s="29">
        <f t="shared" si="3"/>
        <v>0</v>
      </c>
      <c r="L17" s="96"/>
      <c r="M17" s="86">
        <v>1</v>
      </c>
    </row>
    <row r="18" s="86" customFormat="1" ht="48" outlineLevel="2" spans="1:13">
      <c r="A18" s="103">
        <f t="shared" si="0"/>
        <v>6</v>
      </c>
      <c r="B18" s="105" t="s">
        <v>79</v>
      </c>
      <c r="C18" s="106" t="s">
        <v>78</v>
      </c>
      <c r="D18" s="105" t="s">
        <v>58</v>
      </c>
      <c r="E18" s="101">
        <f>0.296*3*2*2</f>
        <v>3.552</v>
      </c>
      <c r="F18" s="101"/>
      <c r="G18" s="101"/>
      <c r="H18" s="101"/>
      <c r="I18" s="27">
        <f t="shared" si="1"/>
        <v>0</v>
      </c>
      <c r="J18" s="28">
        <f t="shared" si="2"/>
        <v>0</v>
      </c>
      <c r="K18" s="29">
        <f t="shared" si="3"/>
        <v>0</v>
      </c>
      <c r="L18" s="96"/>
      <c r="M18" s="86">
        <v>1</v>
      </c>
    </row>
    <row r="19" s="86" customFormat="1" ht="60" outlineLevel="2" spans="1:13">
      <c r="A19" s="103">
        <f t="shared" si="0"/>
        <v>7</v>
      </c>
      <c r="B19" s="105" t="s">
        <v>80</v>
      </c>
      <c r="C19" s="106" t="s">
        <v>81</v>
      </c>
      <c r="D19" s="105" t="s">
        <v>58</v>
      </c>
      <c r="E19" s="101">
        <f>+(0.061+0.72+0.114+0.074)*0.95*2</f>
        <v>1.8411</v>
      </c>
      <c r="F19" s="101"/>
      <c r="G19" s="101"/>
      <c r="H19" s="101"/>
      <c r="I19" s="27">
        <f t="shared" si="1"/>
        <v>0</v>
      </c>
      <c r="J19" s="28">
        <f t="shared" si="2"/>
        <v>0</v>
      </c>
      <c r="K19" s="29">
        <f t="shared" si="3"/>
        <v>0</v>
      </c>
      <c r="L19" s="96"/>
      <c r="M19" s="86">
        <v>1</v>
      </c>
    </row>
    <row r="20" s="86" customFormat="1" ht="48" outlineLevel="2" spans="1:13">
      <c r="A20" s="103">
        <f t="shared" si="0"/>
        <v>8</v>
      </c>
      <c r="B20" s="105" t="s">
        <v>82</v>
      </c>
      <c r="C20" s="106" t="s">
        <v>83</v>
      </c>
      <c r="D20" s="105" t="s">
        <v>58</v>
      </c>
      <c r="E20" s="101">
        <v>0.252</v>
      </c>
      <c r="F20" s="101"/>
      <c r="G20" s="101"/>
      <c r="H20" s="101"/>
      <c r="I20" s="27">
        <f t="shared" si="1"/>
        <v>0</v>
      </c>
      <c r="J20" s="28">
        <f t="shared" si="2"/>
        <v>0</v>
      </c>
      <c r="K20" s="29">
        <f t="shared" si="3"/>
        <v>0</v>
      </c>
      <c r="L20" s="96"/>
      <c r="M20" s="86">
        <v>1</v>
      </c>
    </row>
    <row r="21" s="86" customFormat="1" ht="60" outlineLevel="2" spans="1:13">
      <c r="A21" s="103">
        <f t="shared" si="0"/>
        <v>9</v>
      </c>
      <c r="B21" s="105" t="s">
        <v>84</v>
      </c>
      <c r="C21" s="106" t="s">
        <v>85</v>
      </c>
      <c r="D21" s="105" t="s">
        <v>58</v>
      </c>
      <c r="E21" s="101">
        <v>0.273</v>
      </c>
      <c r="F21" s="101"/>
      <c r="G21" s="101"/>
      <c r="H21" s="101"/>
      <c r="I21" s="27">
        <f t="shared" si="1"/>
        <v>0</v>
      </c>
      <c r="J21" s="28">
        <f t="shared" si="2"/>
        <v>0</v>
      </c>
      <c r="K21" s="29">
        <f t="shared" si="3"/>
        <v>0</v>
      </c>
      <c r="L21" s="96"/>
      <c r="M21" s="86">
        <v>1</v>
      </c>
    </row>
    <row r="22" s="86" customFormat="1" ht="48" outlineLevel="2" spans="1:13">
      <c r="A22" s="103">
        <f t="shared" si="0"/>
        <v>10</v>
      </c>
      <c r="B22" s="105" t="s">
        <v>86</v>
      </c>
      <c r="C22" s="106" t="s">
        <v>87</v>
      </c>
      <c r="D22" s="105" t="s">
        <v>65</v>
      </c>
      <c r="E22" s="101">
        <v>25.71</v>
      </c>
      <c r="F22" s="101"/>
      <c r="G22" s="101"/>
      <c r="H22" s="101"/>
      <c r="I22" s="27">
        <f t="shared" si="1"/>
        <v>0</v>
      </c>
      <c r="J22" s="28">
        <f t="shared" si="2"/>
        <v>0</v>
      </c>
      <c r="K22" s="29">
        <f t="shared" si="3"/>
        <v>0</v>
      </c>
      <c r="L22" s="96"/>
      <c r="M22" s="86">
        <v>1</v>
      </c>
    </row>
    <row r="23" s="86" customFormat="1" ht="36" outlineLevel="2" spans="1:13">
      <c r="A23" s="103">
        <f t="shared" si="0"/>
        <v>11</v>
      </c>
      <c r="B23" s="105" t="s">
        <v>88</v>
      </c>
      <c r="C23" s="106" t="s">
        <v>89</v>
      </c>
      <c r="D23" s="105" t="s">
        <v>65</v>
      </c>
      <c r="E23" s="101">
        <f>0.17*2</f>
        <v>0.34</v>
      </c>
      <c r="F23" s="101"/>
      <c r="G23" s="101"/>
      <c r="H23" s="101"/>
      <c r="I23" s="27">
        <f t="shared" si="1"/>
        <v>0</v>
      </c>
      <c r="J23" s="28">
        <f t="shared" si="2"/>
        <v>0</v>
      </c>
      <c r="K23" s="29">
        <f t="shared" si="3"/>
        <v>0</v>
      </c>
      <c r="L23" s="96"/>
      <c r="M23" s="86">
        <v>1</v>
      </c>
    </row>
    <row r="24" s="86" customFormat="1" ht="36" outlineLevel="2" spans="1:13">
      <c r="A24" s="103">
        <f t="shared" si="0"/>
        <v>12</v>
      </c>
      <c r="B24" s="105" t="s">
        <v>90</v>
      </c>
      <c r="C24" s="106" t="s">
        <v>91</v>
      </c>
      <c r="D24" s="105" t="s">
        <v>65</v>
      </c>
      <c r="E24" s="101">
        <v>0.96</v>
      </c>
      <c r="F24" s="101"/>
      <c r="G24" s="101"/>
      <c r="H24" s="101"/>
      <c r="I24" s="27">
        <f t="shared" si="1"/>
        <v>0</v>
      </c>
      <c r="J24" s="28">
        <f t="shared" si="2"/>
        <v>0</v>
      </c>
      <c r="K24" s="29">
        <f t="shared" si="3"/>
        <v>0</v>
      </c>
      <c r="L24" s="96"/>
      <c r="M24" s="86">
        <v>1</v>
      </c>
    </row>
    <row r="25" s="86" customFormat="1" ht="48" outlineLevel="2" spans="1:13">
      <c r="A25" s="103">
        <f t="shared" si="0"/>
        <v>13</v>
      </c>
      <c r="B25" s="105" t="s">
        <v>92</v>
      </c>
      <c r="C25" s="106" t="s">
        <v>93</v>
      </c>
      <c r="D25" s="105" t="s">
        <v>65</v>
      </c>
      <c r="E25" s="101">
        <v>24.41</v>
      </c>
      <c r="F25" s="101"/>
      <c r="G25" s="101"/>
      <c r="H25" s="101"/>
      <c r="I25" s="27">
        <f t="shared" si="1"/>
        <v>0</v>
      </c>
      <c r="J25" s="28">
        <f t="shared" si="2"/>
        <v>0</v>
      </c>
      <c r="K25" s="29">
        <f t="shared" si="3"/>
        <v>0</v>
      </c>
      <c r="L25" s="96"/>
      <c r="M25" s="86">
        <v>1</v>
      </c>
    </row>
    <row r="26" s="86" customFormat="1" ht="48" outlineLevel="2" spans="1:13">
      <c r="A26" s="103">
        <f t="shared" si="0"/>
        <v>14</v>
      </c>
      <c r="B26" s="105" t="s">
        <v>94</v>
      </c>
      <c r="C26" s="106" t="s">
        <v>95</v>
      </c>
      <c r="D26" s="105" t="s">
        <v>65</v>
      </c>
      <c r="E26" s="101">
        <v>25.71</v>
      </c>
      <c r="F26" s="101"/>
      <c r="G26" s="101"/>
      <c r="H26" s="101"/>
      <c r="I26" s="27">
        <f t="shared" si="1"/>
        <v>0</v>
      </c>
      <c r="J26" s="28">
        <f t="shared" si="2"/>
        <v>0</v>
      </c>
      <c r="K26" s="29">
        <f t="shared" si="3"/>
        <v>0</v>
      </c>
      <c r="L26" s="96"/>
      <c r="M26" s="86">
        <v>1</v>
      </c>
    </row>
    <row r="27" s="86" customFormat="1" ht="24" customHeight="1" outlineLevel="1" spans="1:13">
      <c r="A27" s="97"/>
      <c r="B27" s="98" t="s">
        <v>96</v>
      </c>
      <c r="C27" s="99"/>
      <c r="D27" s="100"/>
      <c r="E27" s="101"/>
      <c r="F27" s="101"/>
      <c r="G27" s="101"/>
      <c r="H27" s="101"/>
      <c r="I27" s="101"/>
      <c r="J27" s="101"/>
      <c r="K27" s="102"/>
      <c r="L27" s="96"/>
    </row>
    <row r="28" s="86" customFormat="1" ht="96" outlineLevel="2" spans="1:13">
      <c r="A28" s="103">
        <f>1+N(A27)</f>
        <v>1</v>
      </c>
      <c r="B28" s="98" t="s">
        <v>97</v>
      </c>
      <c r="C28" s="108" t="s">
        <v>98</v>
      </c>
      <c r="D28" s="100" t="s">
        <v>58</v>
      </c>
      <c r="E28" s="101">
        <v>31.77</v>
      </c>
      <c r="F28" s="101"/>
      <c r="G28" s="101"/>
      <c r="H28" s="101"/>
      <c r="I28" s="27">
        <f>(F28+G28+H28)*$I$3</f>
        <v>0</v>
      </c>
      <c r="J28" s="28">
        <f>ROUND(SUM(F28:I28),2)</f>
        <v>0</v>
      </c>
      <c r="K28" s="29">
        <f>ROUND(J28*E28,2)</f>
        <v>0</v>
      </c>
      <c r="L28" s="96"/>
      <c r="M28" s="86">
        <v>1</v>
      </c>
    </row>
    <row r="29" s="86" customFormat="1" ht="72" customHeight="1" outlineLevel="2" spans="1:13">
      <c r="A29" s="103">
        <f>1+N(A28)</f>
        <v>2</v>
      </c>
      <c r="B29" s="98" t="s">
        <v>99</v>
      </c>
      <c r="C29" s="108" t="s">
        <v>100</v>
      </c>
      <c r="D29" s="100" t="s">
        <v>65</v>
      </c>
      <c r="E29" s="101">
        <v>12.73</v>
      </c>
      <c r="F29" s="101"/>
      <c r="G29" s="101"/>
      <c r="H29" s="101"/>
      <c r="I29" s="27">
        <f>(F29+G29+H29)*$I$3</f>
        <v>0</v>
      </c>
      <c r="J29" s="28">
        <f>ROUND(SUM(F29:I29),2)</f>
        <v>0</v>
      </c>
      <c r="K29" s="29">
        <f>ROUND(J29*E29,2)</f>
        <v>0</v>
      </c>
      <c r="L29" s="96"/>
      <c r="M29" s="86">
        <v>1</v>
      </c>
    </row>
    <row r="30" s="86" customFormat="1" ht="72" customHeight="1" outlineLevel="2" spans="1:13">
      <c r="A30" s="103">
        <f>1+N(A29)</f>
        <v>3</v>
      </c>
      <c r="B30" s="98" t="s">
        <v>101</v>
      </c>
      <c r="C30" s="99" t="s">
        <v>102</v>
      </c>
      <c r="D30" s="100" t="s">
        <v>65</v>
      </c>
      <c r="E30" s="101">
        <v>12.73</v>
      </c>
      <c r="F30" s="101"/>
      <c r="G30" s="101"/>
      <c r="H30" s="101"/>
      <c r="I30" s="27">
        <f>(F30+G30+H30)*$I$3</f>
        <v>0</v>
      </c>
      <c r="J30" s="28">
        <f>ROUND(SUM(F30:I30),2)</f>
        <v>0</v>
      </c>
      <c r="K30" s="29">
        <f>ROUND(J30*E30,2)</f>
        <v>0</v>
      </c>
      <c r="L30" s="96"/>
      <c r="M30" s="86">
        <v>1</v>
      </c>
    </row>
    <row r="31" s="86" customFormat="1" ht="72" customHeight="1" outlineLevel="2" spans="1:13">
      <c r="A31" s="103">
        <f>1+N(A30)</f>
        <v>4</v>
      </c>
      <c r="B31" s="98" t="s">
        <v>103</v>
      </c>
      <c r="C31" s="99" t="s">
        <v>104</v>
      </c>
      <c r="D31" s="100" t="s">
        <v>65</v>
      </c>
      <c r="E31" s="101">
        <f>1.2*2*1</f>
        <v>2.4</v>
      </c>
      <c r="F31" s="101"/>
      <c r="G31" s="101"/>
      <c r="H31" s="101"/>
      <c r="I31" s="27">
        <f>(F31+G31+H31)*$I$3</f>
        <v>0</v>
      </c>
      <c r="J31" s="28">
        <f>ROUND(SUM(F31:I31),2)</f>
        <v>0</v>
      </c>
      <c r="K31" s="29">
        <f>ROUND(J31*E31,2)</f>
        <v>0</v>
      </c>
      <c r="L31" s="96"/>
      <c r="M31" s="86">
        <v>1</v>
      </c>
    </row>
    <row r="32" s="86" customFormat="1" ht="72" customHeight="1" outlineLevel="2" spans="1:13">
      <c r="A32" s="103">
        <f>1+N(A31)</f>
        <v>5</v>
      </c>
      <c r="B32" s="98" t="s">
        <v>105</v>
      </c>
      <c r="C32" s="99" t="s">
        <v>106</v>
      </c>
      <c r="D32" s="100" t="s">
        <v>58</v>
      </c>
      <c r="E32" s="101">
        <f>31.77+12.73*0.3</f>
        <v>35.589</v>
      </c>
      <c r="F32" s="101"/>
      <c r="G32" s="101"/>
      <c r="H32" s="101"/>
      <c r="I32" s="27">
        <f>(F32+G32+H32)*$I$3</f>
        <v>0</v>
      </c>
      <c r="J32" s="28">
        <f>ROUND(SUM(F32:I32),2)</f>
        <v>0</v>
      </c>
      <c r="K32" s="29">
        <f>ROUND(J32*E32,2)</f>
        <v>0</v>
      </c>
      <c r="L32" s="96"/>
      <c r="M32" s="86">
        <v>1</v>
      </c>
    </row>
    <row r="33" s="86" customFormat="1" ht="24" customHeight="1" outlineLevel="1" spans="1:15">
      <c r="A33" s="97"/>
      <c r="B33" s="98" t="s">
        <v>107</v>
      </c>
      <c r="C33" s="99"/>
      <c r="D33" s="100"/>
      <c r="E33" s="101"/>
      <c r="F33" s="101"/>
      <c r="G33" s="101"/>
      <c r="H33" s="101"/>
      <c r="I33" s="101"/>
      <c r="J33" s="101"/>
      <c r="K33" s="102"/>
      <c r="L33" s="96"/>
    </row>
    <row r="34" s="86" customFormat="1" ht="36" outlineLevel="2" spans="1:15">
      <c r="A34" s="103">
        <f>1+N(A33)</f>
        <v>1</v>
      </c>
      <c r="B34" s="98" t="s">
        <v>108</v>
      </c>
      <c r="C34" s="99" t="s">
        <v>109</v>
      </c>
      <c r="D34" s="100" t="s">
        <v>58</v>
      </c>
      <c r="E34" s="101">
        <f>0.96*3</f>
        <v>2.88</v>
      </c>
      <c r="F34" s="101"/>
      <c r="G34" s="101"/>
      <c r="H34" s="101"/>
      <c r="I34" s="27">
        <f>(F34+G34+H34)*$I$3</f>
        <v>0</v>
      </c>
      <c r="J34" s="28">
        <f>ROUND(SUM(F34:I34),2)</f>
        <v>0</v>
      </c>
      <c r="K34" s="29">
        <f>ROUND(J34*E34,2)</f>
        <v>0</v>
      </c>
      <c r="L34" s="96"/>
      <c r="M34" s="86">
        <v>1</v>
      </c>
    </row>
    <row r="35" s="86" customFormat="1" ht="72" outlineLevel="2" spans="1:15">
      <c r="A35" s="103">
        <f>1+N(A34)</f>
        <v>2</v>
      </c>
      <c r="B35" s="98" t="s">
        <v>110</v>
      </c>
      <c r="C35" s="106" t="s">
        <v>111</v>
      </c>
      <c r="D35" s="100" t="s">
        <v>58</v>
      </c>
      <c r="E35" s="101">
        <f>1.84*3</f>
        <v>5.52</v>
      </c>
      <c r="F35" s="101"/>
      <c r="G35" s="101"/>
      <c r="H35" s="101"/>
      <c r="I35" s="27">
        <f>(F35+G35+H35)*$I$3</f>
        <v>0</v>
      </c>
      <c r="J35" s="28">
        <f>ROUND(SUM(F35:I35),2)</f>
        <v>0</v>
      </c>
      <c r="K35" s="29">
        <f>ROUND(J35*E35,2)</f>
        <v>0</v>
      </c>
      <c r="L35" s="96"/>
      <c r="M35" s="86">
        <v>1</v>
      </c>
    </row>
    <row r="36" s="86" customFormat="1" ht="36" outlineLevel="2" spans="1:15">
      <c r="A36" s="103">
        <f>1+N(A35)</f>
        <v>3</v>
      </c>
      <c r="B36" s="105" t="s">
        <v>112</v>
      </c>
      <c r="C36" s="106" t="s">
        <v>113</v>
      </c>
      <c r="D36" s="105" t="s">
        <v>58</v>
      </c>
      <c r="E36" s="101">
        <f>1.71*3</f>
        <v>5.13</v>
      </c>
      <c r="F36" s="101"/>
      <c r="G36" s="101"/>
      <c r="H36" s="101"/>
      <c r="I36" s="27">
        <f>(F36+G36+H36)*$I$3</f>
        <v>0</v>
      </c>
      <c r="J36" s="28">
        <f>ROUND(SUM(F36:I36),2)</f>
        <v>0</v>
      </c>
      <c r="K36" s="29">
        <f>ROUND(J36*E36,2)</f>
        <v>0</v>
      </c>
      <c r="L36" s="96"/>
      <c r="M36" s="86">
        <v>1</v>
      </c>
    </row>
    <row r="37" s="86" customFormat="1" ht="24" customHeight="1" outlineLevel="1" spans="1:15">
      <c r="A37" s="92" t="s">
        <v>114</v>
      </c>
      <c r="B37" s="93" t="s">
        <v>115</v>
      </c>
      <c r="C37" s="93"/>
      <c r="D37" s="94"/>
      <c r="E37" s="95"/>
      <c r="F37" s="95"/>
      <c r="G37" s="95"/>
      <c r="H37" s="95"/>
      <c r="I37" s="95"/>
      <c r="J37" s="95"/>
      <c r="K37" s="23"/>
      <c r="L37" s="96"/>
      <c r="O37" s="86" t="str">
        <f>_xlfn.DISPIMG("ID_EC83A7CF2DCE420D98B785E34F0891B0",1)</f>
        <v>=DISPIMG("ID_EC83A7CF2DCE420D98B785E34F0891B0",1)</v>
      </c>
    </row>
    <row r="38" s="86" customFormat="1" ht="24" customHeight="1" outlineLevel="1" spans="1:15">
      <c r="A38" s="97"/>
      <c r="B38" s="98" t="s">
        <v>55</v>
      </c>
      <c r="C38" s="99"/>
      <c r="D38" s="100"/>
      <c r="E38" s="101"/>
      <c r="F38" s="101"/>
      <c r="G38" s="101"/>
      <c r="H38" s="101"/>
      <c r="I38" s="101"/>
      <c r="J38" s="101"/>
      <c r="K38" s="102"/>
      <c r="L38" s="96"/>
    </row>
    <row r="39" s="86" customFormat="1" ht="96" outlineLevel="2" spans="1:15">
      <c r="A39" s="103">
        <f>1+N(A38)</f>
        <v>1</v>
      </c>
      <c r="B39" s="98" t="s">
        <v>56</v>
      </c>
      <c r="C39" s="99" t="s">
        <v>57</v>
      </c>
      <c r="D39" s="100" t="s">
        <v>58</v>
      </c>
      <c r="E39" s="101">
        <v>30.5</v>
      </c>
      <c r="F39" s="101"/>
      <c r="G39" s="101"/>
      <c r="H39" s="27"/>
      <c r="I39" s="27">
        <f>(F39+G39+H39)*$I$3</f>
        <v>0</v>
      </c>
      <c r="J39" s="28">
        <f>ROUND(SUM(F39:I39),2)</f>
        <v>0</v>
      </c>
      <c r="K39" s="29">
        <f>ROUND(J39*E39,2)</f>
        <v>0</v>
      </c>
      <c r="L39" s="96"/>
      <c r="M39" s="86">
        <v>1</v>
      </c>
      <c r="O39" s="86">
        <v>29.2</v>
      </c>
    </row>
    <row r="40" s="86" customFormat="1" ht="108" outlineLevel="2" spans="1:15">
      <c r="A40" s="103">
        <f>1+N(A39)</f>
        <v>2</v>
      </c>
      <c r="B40" s="98" t="s">
        <v>116</v>
      </c>
      <c r="C40" s="99" t="s">
        <v>117</v>
      </c>
      <c r="D40" s="100" t="s">
        <v>58</v>
      </c>
      <c r="E40" s="101">
        <v>41.2</v>
      </c>
      <c r="F40" s="101"/>
      <c r="G40" s="101"/>
      <c r="H40" s="101"/>
      <c r="I40" s="27">
        <f>(F40+G40+H40)*$I$3</f>
        <v>0</v>
      </c>
      <c r="J40" s="28">
        <f>ROUND(SUM(F40:I40),2)</f>
        <v>0</v>
      </c>
      <c r="K40" s="29">
        <f>ROUND(J40*E40,2)</f>
        <v>0</v>
      </c>
      <c r="L40" s="96"/>
      <c r="M40" s="86">
        <v>1</v>
      </c>
    </row>
    <row r="41" s="86" customFormat="1" ht="36" outlineLevel="2" spans="1:15">
      <c r="A41" s="103">
        <f>1+N(A40)</f>
        <v>3</v>
      </c>
      <c r="B41" s="98" t="s">
        <v>63</v>
      </c>
      <c r="C41" s="99" t="s">
        <v>64</v>
      </c>
      <c r="D41" s="100" t="s">
        <v>65</v>
      </c>
      <c r="E41" s="101">
        <v>24.98</v>
      </c>
      <c r="F41" s="101"/>
      <c r="G41" s="101"/>
      <c r="H41" s="101"/>
      <c r="I41" s="27">
        <f>(F41+G41+H41)*$I$3</f>
        <v>0</v>
      </c>
      <c r="J41" s="28">
        <f>ROUND(SUM(F41:I41),2)</f>
        <v>0</v>
      </c>
      <c r="K41" s="29">
        <f>ROUND(J41*E41,2)</f>
        <v>0</v>
      </c>
      <c r="L41" s="96"/>
      <c r="M41" s="86">
        <v>1</v>
      </c>
    </row>
    <row r="42" s="86" customFormat="1" ht="48" outlineLevel="2" spans="1:15">
      <c r="A42" s="103">
        <f>1+N(A41)</f>
        <v>4</v>
      </c>
      <c r="B42" s="98" t="s">
        <v>66</v>
      </c>
      <c r="C42" s="99" t="s">
        <v>67</v>
      </c>
      <c r="D42" s="100" t="s">
        <v>58</v>
      </c>
      <c r="E42" s="101">
        <v>71.7</v>
      </c>
      <c r="F42" s="101"/>
      <c r="G42" s="101"/>
      <c r="H42" s="101"/>
      <c r="I42" s="27">
        <f>(F42+G42+H42)*$I$3</f>
        <v>0</v>
      </c>
      <c r="J42" s="28">
        <f>ROUND(SUM(F42:I42),2)</f>
        <v>0</v>
      </c>
      <c r="K42" s="29">
        <f>ROUND(J42*E42,2)</f>
        <v>0</v>
      </c>
      <c r="L42" s="96"/>
      <c r="M42" s="86">
        <v>1</v>
      </c>
    </row>
    <row r="43" s="86" customFormat="1" ht="24" customHeight="1" outlineLevel="1" spans="1:15">
      <c r="A43" s="97"/>
      <c r="B43" s="98" t="s">
        <v>68</v>
      </c>
      <c r="C43" s="99"/>
      <c r="D43" s="100"/>
      <c r="E43" s="101"/>
      <c r="F43" s="101"/>
      <c r="G43" s="101"/>
      <c r="H43" s="101"/>
      <c r="I43" s="101"/>
      <c r="J43" s="101"/>
      <c r="K43" s="102"/>
      <c r="L43" s="96"/>
    </row>
    <row r="44" s="86" customFormat="1" ht="72" outlineLevel="2" spans="1:15">
      <c r="A44" s="103">
        <f t="shared" ref="A44:A50" si="4">1+N(A43)</f>
        <v>1</v>
      </c>
      <c r="B44" s="104" t="s">
        <v>69</v>
      </c>
      <c r="C44" s="99" t="s">
        <v>70</v>
      </c>
      <c r="D44" s="100" t="s">
        <v>58</v>
      </c>
      <c r="E44" s="101">
        <v>16.166</v>
      </c>
      <c r="F44" s="101"/>
      <c r="G44" s="101"/>
      <c r="H44" s="101"/>
      <c r="I44" s="27">
        <f t="shared" ref="I44:I50" si="5">(F44+G44+H44)*$I$3</f>
        <v>0</v>
      </c>
      <c r="J44" s="28">
        <f t="shared" ref="J44:J50" si="6">ROUND(SUM(F44:I44),2)</f>
        <v>0</v>
      </c>
      <c r="K44" s="29">
        <f t="shared" ref="K44:K50" si="7">ROUND(J44*E44,2)</f>
        <v>0</v>
      </c>
      <c r="L44" s="96"/>
      <c r="M44" s="86">
        <v>1</v>
      </c>
    </row>
    <row r="45" s="86" customFormat="1" ht="96" outlineLevel="2" spans="1:15">
      <c r="A45" s="103">
        <f t="shared" si="4"/>
        <v>2</v>
      </c>
      <c r="B45" s="105" t="s">
        <v>71</v>
      </c>
      <c r="C45" s="106" t="s">
        <v>72</v>
      </c>
      <c r="D45" s="100" t="s">
        <v>58</v>
      </c>
      <c r="E45" s="101">
        <v>58.195</v>
      </c>
      <c r="F45" s="101"/>
      <c r="G45" s="101"/>
      <c r="H45" s="101"/>
      <c r="I45" s="27">
        <f t="shared" si="5"/>
        <v>0</v>
      </c>
      <c r="J45" s="28">
        <f t="shared" si="6"/>
        <v>0</v>
      </c>
      <c r="K45" s="29">
        <f t="shared" si="7"/>
        <v>0</v>
      </c>
      <c r="L45" s="96"/>
      <c r="M45" s="86">
        <v>1</v>
      </c>
    </row>
    <row r="46" s="86" customFormat="1" ht="96" outlineLevel="2" spans="1:15">
      <c r="A46" s="103">
        <f t="shared" si="4"/>
        <v>3</v>
      </c>
      <c r="B46" s="105" t="s">
        <v>73</v>
      </c>
      <c r="C46" s="106" t="s">
        <v>74</v>
      </c>
      <c r="D46" s="100" t="s">
        <v>58</v>
      </c>
      <c r="E46" s="101">
        <v>12.33</v>
      </c>
      <c r="F46" s="101"/>
      <c r="G46" s="101"/>
      <c r="H46" s="101"/>
      <c r="I46" s="27">
        <f t="shared" si="5"/>
        <v>0</v>
      </c>
      <c r="J46" s="28">
        <f t="shared" si="6"/>
        <v>0</v>
      </c>
      <c r="K46" s="29">
        <f t="shared" si="7"/>
        <v>0</v>
      </c>
      <c r="L46" s="96"/>
      <c r="M46" s="86">
        <v>1</v>
      </c>
    </row>
    <row r="47" s="86" customFormat="1" ht="72" outlineLevel="2" spans="1:15">
      <c r="A47" s="103">
        <f t="shared" si="4"/>
        <v>4</v>
      </c>
      <c r="B47" s="105" t="s">
        <v>75</v>
      </c>
      <c r="C47" s="106" t="s">
        <v>76</v>
      </c>
      <c r="D47" s="105" t="s">
        <v>58</v>
      </c>
      <c r="E47" s="101">
        <v>5.548</v>
      </c>
      <c r="F47" s="101"/>
      <c r="G47" s="101"/>
      <c r="H47" s="101"/>
      <c r="I47" s="27">
        <f t="shared" si="5"/>
        <v>0</v>
      </c>
      <c r="J47" s="28">
        <f t="shared" si="6"/>
        <v>0</v>
      </c>
      <c r="K47" s="29">
        <f t="shared" si="7"/>
        <v>0</v>
      </c>
      <c r="L47" s="96"/>
      <c r="M47" s="86">
        <v>1</v>
      </c>
    </row>
    <row r="48" s="86" customFormat="1" ht="48" outlineLevel="2" spans="1:15">
      <c r="A48" s="103">
        <f t="shared" si="4"/>
        <v>5</v>
      </c>
      <c r="B48" s="105" t="s">
        <v>86</v>
      </c>
      <c r="C48" s="106" t="s">
        <v>87</v>
      </c>
      <c r="D48" s="105" t="s">
        <v>65</v>
      </c>
      <c r="E48" s="101">
        <v>30.137</v>
      </c>
      <c r="F48" s="101"/>
      <c r="G48" s="101"/>
      <c r="H48" s="101"/>
      <c r="I48" s="27">
        <f t="shared" si="5"/>
        <v>0</v>
      </c>
      <c r="J48" s="28">
        <f t="shared" si="6"/>
        <v>0</v>
      </c>
      <c r="K48" s="29">
        <f t="shared" si="7"/>
        <v>0</v>
      </c>
      <c r="L48" s="96"/>
      <c r="M48" s="86">
        <v>1</v>
      </c>
    </row>
    <row r="49" s="86" customFormat="1" ht="48" outlineLevel="2" spans="1:15">
      <c r="A49" s="103">
        <f t="shared" si="4"/>
        <v>6</v>
      </c>
      <c r="B49" s="105" t="s">
        <v>92</v>
      </c>
      <c r="C49" s="106" t="s">
        <v>93</v>
      </c>
      <c r="D49" s="105" t="s">
        <v>65</v>
      </c>
      <c r="E49" s="101">
        <v>30.137</v>
      </c>
      <c r="F49" s="101"/>
      <c r="G49" s="101"/>
      <c r="H49" s="101"/>
      <c r="I49" s="27">
        <f t="shared" si="5"/>
        <v>0</v>
      </c>
      <c r="J49" s="28">
        <f t="shared" si="6"/>
        <v>0</v>
      </c>
      <c r="K49" s="29">
        <f t="shared" si="7"/>
        <v>0</v>
      </c>
      <c r="L49" s="96"/>
      <c r="M49" s="86">
        <v>1</v>
      </c>
    </row>
    <row r="50" s="86" customFormat="1" ht="48" outlineLevel="2" spans="1:15">
      <c r="A50" s="103">
        <f t="shared" si="4"/>
        <v>7</v>
      </c>
      <c r="B50" s="105" t="s">
        <v>94</v>
      </c>
      <c r="C50" s="106" t="s">
        <v>95</v>
      </c>
      <c r="D50" s="105" t="s">
        <v>65</v>
      </c>
      <c r="E50" s="101">
        <v>30.137</v>
      </c>
      <c r="F50" s="101"/>
      <c r="G50" s="101"/>
      <c r="H50" s="101"/>
      <c r="I50" s="27">
        <f t="shared" si="5"/>
        <v>0</v>
      </c>
      <c r="J50" s="28">
        <f t="shared" si="6"/>
        <v>0</v>
      </c>
      <c r="K50" s="29">
        <f t="shared" si="7"/>
        <v>0</v>
      </c>
      <c r="L50" s="96"/>
      <c r="M50" s="86">
        <v>1</v>
      </c>
    </row>
    <row r="51" s="86" customFormat="1" ht="24" customHeight="1" outlineLevel="1" spans="1:15">
      <c r="A51" s="97"/>
      <c r="B51" s="98" t="s">
        <v>96</v>
      </c>
      <c r="C51" s="99"/>
      <c r="D51" s="100"/>
      <c r="E51" s="101"/>
      <c r="F51" s="101"/>
      <c r="G51" s="101"/>
      <c r="H51" s="101"/>
      <c r="I51" s="101"/>
      <c r="J51" s="101"/>
      <c r="K51" s="102"/>
      <c r="L51" s="96"/>
    </row>
    <row r="52" s="86" customFormat="1" ht="96" outlineLevel="2" spans="1:15">
      <c r="A52" s="103">
        <f t="shared" ref="A52:A57" si="8">1+N(A51)</f>
        <v>1</v>
      </c>
      <c r="B52" s="98" t="s">
        <v>97</v>
      </c>
      <c r="C52" s="108" t="s">
        <v>98</v>
      </c>
      <c r="D52" s="100" t="s">
        <v>58</v>
      </c>
      <c r="E52" s="101">
        <f>71.7-34.72</f>
        <v>36.98</v>
      </c>
      <c r="F52" s="101"/>
      <c r="G52" s="101"/>
      <c r="H52" s="101"/>
      <c r="I52" s="27">
        <f t="shared" ref="I52:I57" si="9">(F52+G52+H52)*$I$3</f>
        <v>0</v>
      </c>
      <c r="J52" s="28">
        <f t="shared" ref="J52:J57" si="10">ROUND(SUM(F52:I52),2)</f>
        <v>0</v>
      </c>
      <c r="K52" s="29">
        <f t="shared" ref="K52:K57" si="11">ROUND(J52*E52,2)</f>
        <v>0</v>
      </c>
      <c r="L52" s="96"/>
      <c r="M52" s="86">
        <v>1</v>
      </c>
    </row>
    <row r="53" s="86" customFormat="1" ht="108" outlineLevel="2" spans="1:15">
      <c r="A53" s="103">
        <f t="shared" si="8"/>
        <v>2</v>
      </c>
      <c r="B53" s="98" t="s">
        <v>118</v>
      </c>
      <c r="C53" s="108" t="s">
        <v>119</v>
      </c>
      <c r="D53" s="100" t="s">
        <v>58</v>
      </c>
      <c r="E53" s="101">
        <v>34.72</v>
      </c>
      <c r="F53" s="101"/>
      <c r="G53" s="101"/>
      <c r="H53" s="101"/>
      <c r="I53" s="27">
        <f t="shared" si="9"/>
        <v>0</v>
      </c>
      <c r="J53" s="28">
        <f t="shared" si="10"/>
        <v>0</v>
      </c>
      <c r="K53" s="29">
        <f t="shared" si="11"/>
        <v>0</v>
      </c>
      <c r="L53" s="96"/>
      <c r="M53" s="86">
        <v>1</v>
      </c>
    </row>
    <row r="54" s="86" customFormat="1" ht="72" customHeight="1" outlineLevel="2" spans="1:15">
      <c r="A54" s="103">
        <f t="shared" si="8"/>
        <v>3</v>
      </c>
      <c r="B54" s="98" t="s">
        <v>99</v>
      </c>
      <c r="C54" s="108" t="s">
        <v>100</v>
      </c>
      <c r="D54" s="100" t="s">
        <v>65</v>
      </c>
      <c r="E54" s="101">
        <v>74.1</v>
      </c>
      <c r="F54" s="101"/>
      <c r="G54" s="101"/>
      <c r="H54" s="101"/>
      <c r="I54" s="27">
        <f t="shared" si="9"/>
        <v>0</v>
      </c>
      <c r="J54" s="28">
        <f t="shared" si="10"/>
        <v>0</v>
      </c>
      <c r="K54" s="29">
        <f t="shared" si="11"/>
        <v>0</v>
      </c>
      <c r="L54" s="96"/>
      <c r="M54" s="86">
        <v>1</v>
      </c>
    </row>
    <row r="55" s="86" customFormat="1" ht="72" customHeight="1" outlineLevel="2" spans="1:15">
      <c r="A55" s="103">
        <f t="shared" si="8"/>
        <v>4</v>
      </c>
      <c r="B55" s="98" t="s">
        <v>101</v>
      </c>
      <c r="C55" s="99" t="s">
        <v>102</v>
      </c>
      <c r="D55" s="100" t="s">
        <v>65</v>
      </c>
      <c r="E55" s="101">
        <v>74.1</v>
      </c>
      <c r="F55" s="101"/>
      <c r="G55" s="101"/>
      <c r="H55" s="101"/>
      <c r="I55" s="27">
        <f t="shared" si="9"/>
        <v>0</v>
      </c>
      <c r="J55" s="28">
        <f t="shared" si="10"/>
        <v>0</v>
      </c>
      <c r="K55" s="29">
        <f t="shared" si="11"/>
        <v>0</v>
      </c>
      <c r="L55" s="96"/>
      <c r="M55" s="86">
        <v>1</v>
      </c>
    </row>
    <row r="56" s="86" customFormat="1" ht="72" customHeight="1" outlineLevel="2" spans="1:15">
      <c r="A56" s="103">
        <f t="shared" si="8"/>
        <v>5</v>
      </c>
      <c r="B56" s="98" t="s">
        <v>103</v>
      </c>
      <c r="C56" s="99" t="s">
        <v>104</v>
      </c>
      <c r="D56" s="100" t="s">
        <v>65</v>
      </c>
      <c r="E56" s="101">
        <f>1.2*2*2</f>
        <v>4.8</v>
      </c>
      <c r="F56" s="101"/>
      <c r="G56" s="101"/>
      <c r="H56" s="101"/>
      <c r="I56" s="27">
        <f t="shared" si="9"/>
        <v>0</v>
      </c>
      <c r="J56" s="28">
        <f t="shared" si="10"/>
        <v>0</v>
      </c>
      <c r="K56" s="29">
        <f t="shared" si="11"/>
        <v>0</v>
      </c>
      <c r="L56" s="96"/>
      <c r="M56" s="86">
        <v>1</v>
      </c>
    </row>
    <row r="57" s="86" customFormat="1" ht="72" customHeight="1" outlineLevel="2" spans="1:15">
      <c r="A57" s="103">
        <f t="shared" si="8"/>
        <v>6</v>
      </c>
      <c r="B57" s="98" t="s">
        <v>105</v>
      </c>
      <c r="C57" s="99" t="s">
        <v>106</v>
      </c>
      <c r="D57" s="100" t="s">
        <v>58</v>
      </c>
      <c r="E57" s="101">
        <f>71.7+74.1*0.3</f>
        <v>93.93</v>
      </c>
      <c r="F57" s="101"/>
      <c r="G57" s="101"/>
      <c r="H57" s="101"/>
      <c r="I57" s="27">
        <f t="shared" si="9"/>
        <v>0</v>
      </c>
      <c r="J57" s="28">
        <f t="shared" si="10"/>
        <v>0</v>
      </c>
      <c r="K57" s="29">
        <f t="shared" si="11"/>
        <v>0</v>
      </c>
      <c r="L57" s="96"/>
      <c r="M57" s="86">
        <v>1</v>
      </c>
    </row>
    <row r="58" s="86" customFormat="1" ht="24" customHeight="1" outlineLevel="1" spans="1:15">
      <c r="A58" s="97"/>
      <c r="B58" s="98" t="s">
        <v>107</v>
      </c>
      <c r="C58" s="99"/>
      <c r="D58" s="100"/>
      <c r="E58" s="101"/>
      <c r="F58" s="101"/>
      <c r="G58" s="101"/>
      <c r="H58" s="101"/>
      <c r="I58" s="101"/>
      <c r="J58" s="101"/>
      <c r="K58" s="102"/>
      <c r="L58" s="96"/>
    </row>
    <row r="59" s="86" customFormat="1" ht="36" outlineLevel="2" spans="1:15">
      <c r="A59" s="103">
        <f>1+N(A58)</f>
        <v>1</v>
      </c>
      <c r="B59" s="98" t="s">
        <v>120</v>
      </c>
      <c r="C59" s="99" t="s">
        <v>109</v>
      </c>
      <c r="D59" s="100" t="s">
        <v>58</v>
      </c>
      <c r="E59" s="101">
        <f>0.75*3</f>
        <v>2.25</v>
      </c>
      <c r="F59" s="101"/>
      <c r="G59" s="101"/>
      <c r="H59" s="101"/>
      <c r="I59" s="27">
        <f>(F59+G59+H59)*$I$3</f>
        <v>0</v>
      </c>
      <c r="J59" s="28">
        <f>ROUND(SUM(F59:I59),2)</f>
        <v>0</v>
      </c>
      <c r="K59" s="29">
        <f>ROUND(J59*E59,2)</f>
        <v>0</v>
      </c>
      <c r="L59" s="96"/>
      <c r="M59" s="86">
        <v>1</v>
      </c>
    </row>
    <row r="60" s="86" customFormat="1" ht="36" outlineLevel="2" spans="1:15">
      <c r="A60" s="103">
        <f>1+N(A59)</f>
        <v>2</v>
      </c>
      <c r="B60" s="98" t="s">
        <v>121</v>
      </c>
      <c r="C60" s="99" t="s">
        <v>109</v>
      </c>
      <c r="D60" s="100" t="s">
        <v>58</v>
      </c>
      <c r="E60" s="101">
        <f>0.7*3</f>
        <v>2.1</v>
      </c>
      <c r="F60" s="101"/>
      <c r="G60" s="101"/>
      <c r="H60" s="101"/>
      <c r="I60" s="27">
        <f>(F60+G60+H60)*$I$3</f>
        <v>0</v>
      </c>
      <c r="J60" s="28">
        <f>ROUND(SUM(F60:I60),2)</f>
        <v>0</v>
      </c>
      <c r="K60" s="29">
        <f>ROUND(J60*E60,2)</f>
        <v>0</v>
      </c>
      <c r="L60" s="96"/>
      <c r="M60" s="86">
        <v>1</v>
      </c>
    </row>
    <row r="61" s="86" customFormat="1" ht="24" customHeight="1" outlineLevel="1" spans="1:15">
      <c r="A61" s="92" t="s">
        <v>122</v>
      </c>
      <c r="B61" s="93" t="s">
        <v>123</v>
      </c>
      <c r="C61" s="93"/>
      <c r="D61" s="94"/>
      <c r="E61" s="95"/>
      <c r="F61" s="95"/>
      <c r="G61" s="95"/>
      <c r="H61" s="95"/>
      <c r="I61" s="95"/>
      <c r="J61" s="95"/>
      <c r="K61" s="23"/>
      <c r="L61" s="96"/>
      <c r="O61" s="86" t="str">
        <f>_xlfn.DISPIMG("ID_D13A3B112CB340D4857ADF47F3345CFD",1)</f>
        <v>=DISPIMG("ID_D13A3B112CB340D4857ADF47F3345CFD",1)</v>
      </c>
    </row>
    <row r="62" s="86" customFormat="1" ht="24" customHeight="1" outlineLevel="1" spans="1:15">
      <c r="A62" s="97"/>
      <c r="B62" s="98" t="s">
        <v>55</v>
      </c>
      <c r="C62" s="99"/>
      <c r="D62" s="100"/>
      <c r="E62" s="101"/>
      <c r="F62" s="101"/>
      <c r="G62" s="101"/>
      <c r="H62" s="101"/>
      <c r="I62" s="101"/>
      <c r="J62" s="101"/>
      <c r="K62" s="102"/>
      <c r="L62" s="96"/>
    </row>
    <row r="63" s="86" customFormat="1" ht="96" outlineLevel="2" spans="1:15">
      <c r="A63" s="103">
        <f>1+N(A62)</f>
        <v>1</v>
      </c>
      <c r="B63" s="98" t="s">
        <v>56</v>
      </c>
      <c r="C63" s="99" t="s">
        <v>57</v>
      </c>
      <c r="D63" s="100" t="s">
        <v>58</v>
      </c>
      <c r="E63" s="101">
        <v>28.2</v>
      </c>
      <c r="F63" s="101"/>
      <c r="G63" s="101"/>
      <c r="H63" s="27"/>
      <c r="I63" s="27">
        <f>(F63+G63+H63)*$I$3</f>
        <v>0</v>
      </c>
      <c r="J63" s="28">
        <f>ROUND(SUM(F63:I63),2)</f>
        <v>0</v>
      </c>
      <c r="K63" s="29">
        <f>ROUND(J63*E63,2)</f>
        <v>0</v>
      </c>
      <c r="L63" s="96"/>
      <c r="M63" s="86">
        <v>1</v>
      </c>
    </row>
    <row r="64" s="86" customFormat="1" ht="48" outlineLevel="2" spans="1:15">
      <c r="A64" s="103">
        <f>1+N(A63)</f>
        <v>2</v>
      </c>
      <c r="B64" s="98" t="s">
        <v>66</v>
      </c>
      <c r="C64" s="99" t="s">
        <v>67</v>
      </c>
      <c r="D64" s="100" t="s">
        <v>58</v>
      </c>
      <c r="E64" s="101">
        <v>28.2</v>
      </c>
      <c r="F64" s="101"/>
      <c r="G64" s="101"/>
      <c r="H64" s="101"/>
      <c r="I64" s="27">
        <f>(F64+G64+H64)*$I$3</f>
        <v>0</v>
      </c>
      <c r="J64" s="28">
        <f>ROUND(SUM(F64:I64),2)</f>
        <v>0</v>
      </c>
      <c r="K64" s="29">
        <f>ROUND(J64*E64,2)</f>
        <v>0</v>
      </c>
      <c r="L64" s="96"/>
      <c r="M64" s="86">
        <v>1</v>
      </c>
    </row>
    <row r="65" s="86" customFormat="1" ht="24" customHeight="1" outlineLevel="1" spans="1:13">
      <c r="A65" s="97"/>
      <c r="B65" s="98" t="s">
        <v>68</v>
      </c>
      <c r="C65" s="99"/>
      <c r="D65" s="100"/>
      <c r="E65" s="101"/>
      <c r="F65" s="101"/>
      <c r="G65" s="101"/>
      <c r="H65" s="101"/>
      <c r="I65" s="101"/>
      <c r="J65" s="101"/>
      <c r="K65" s="102"/>
      <c r="L65" s="96"/>
    </row>
    <row r="66" s="86" customFormat="1" ht="72" outlineLevel="2" spans="1:13">
      <c r="A66" s="103">
        <f t="shared" ref="A66:A73" si="12">1+N(A65)</f>
        <v>1</v>
      </c>
      <c r="B66" s="104" t="s">
        <v>69</v>
      </c>
      <c r="C66" s="99" t="s">
        <v>70</v>
      </c>
      <c r="D66" s="100" t="s">
        <v>58</v>
      </c>
      <c r="E66" s="101">
        <v>4.458</v>
      </c>
      <c r="F66" s="101"/>
      <c r="G66" s="101"/>
      <c r="H66" s="101"/>
      <c r="I66" s="27">
        <f t="shared" ref="I66:I73" si="13">(F66+G66+H66)*$I$3</f>
        <v>0</v>
      </c>
      <c r="J66" s="28">
        <f t="shared" ref="J66:J73" si="14">ROUND(SUM(F66:I66),2)</f>
        <v>0</v>
      </c>
      <c r="K66" s="29">
        <f t="shared" ref="K66:K73" si="15">ROUND(J66*E66,2)</f>
        <v>0</v>
      </c>
      <c r="L66" s="96"/>
      <c r="M66" s="86">
        <v>1</v>
      </c>
    </row>
    <row r="67" s="86" customFormat="1" ht="96" outlineLevel="2" spans="1:13">
      <c r="A67" s="103">
        <f t="shared" si="12"/>
        <v>2</v>
      </c>
      <c r="B67" s="105" t="s">
        <v>71</v>
      </c>
      <c r="C67" s="106" t="s">
        <v>72</v>
      </c>
      <c r="D67" s="100" t="s">
        <v>58</v>
      </c>
      <c r="E67" s="101">
        <v>29.706</v>
      </c>
      <c r="F67" s="101"/>
      <c r="G67" s="101"/>
      <c r="H67" s="101"/>
      <c r="I67" s="27">
        <f t="shared" si="13"/>
        <v>0</v>
      </c>
      <c r="J67" s="28">
        <f t="shared" si="14"/>
        <v>0</v>
      </c>
      <c r="K67" s="29">
        <f t="shared" si="15"/>
        <v>0</v>
      </c>
      <c r="L67" s="96"/>
      <c r="M67" s="86">
        <v>1</v>
      </c>
    </row>
    <row r="68" s="86" customFormat="1" ht="96" outlineLevel="2" spans="1:13">
      <c r="A68" s="103">
        <f t="shared" si="12"/>
        <v>3</v>
      </c>
      <c r="B68" s="105" t="s">
        <v>73</v>
      </c>
      <c r="C68" s="106" t="s">
        <v>74</v>
      </c>
      <c r="D68" s="100" t="s">
        <v>58</v>
      </c>
      <c r="E68" s="101">
        <v>13.642</v>
      </c>
      <c r="F68" s="101"/>
      <c r="G68" s="101"/>
      <c r="H68" s="101"/>
      <c r="I68" s="27">
        <f t="shared" si="13"/>
        <v>0</v>
      </c>
      <c r="J68" s="28">
        <f t="shared" si="14"/>
        <v>0</v>
      </c>
      <c r="K68" s="29">
        <f t="shared" si="15"/>
        <v>0</v>
      </c>
      <c r="L68" s="96"/>
      <c r="M68" s="86">
        <v>1</v>
      </c>
    </row>
    <row r="69" s="86" customFormat="1" ht="36" outlineLevel="2" spans="1:13">
      <c r="A69" s="103">
        <f t="shared" si="12"/>
        <v>4</v>
      </c>
      <c r="B69" s="105" t="s">
        <v>124</v>
      </c>
      <c r="C69" s="106" t="s">
        <v>125</v>
      </c>
      <c r="D69" s="100" t="s">
        <v>58</v>
      </c>
      <c r="E69" s="101">
        <v>16.5</v>
      </c>
      <c r="F69" s="101"/>
      <c r="G69" s="101"/>
      <c r="H69" s="101"/>
      <c r="I69" s="27">
        <f t="shared" si="13"/>
        <v>0</v>
      </c>
      <c r="J69" s="28">
        <f t="shared" si="14"/>
        <v>0</v>
      </c>
      <c r="K69" s="29">
        <f t="shared" si="15"/>
        <v>0</v>
      </c>
      <c r="L69" s="96"/>
      <c r="M69" s="86">
        <v>1</v>
      </c>
    </row>
    <row r="70" s="86" customFormat="1" ht="48" outlineLevel="2" spans="1:13">
      <c r="A70" s="103">
        <f t="shared" si="12"/>
        <v>5</v>
      </c>
      <c r="B70" s="105" t="s">
        <v>126</v>
      </c>
      <c r="C70" s="106" t="s">
        <v>127</v>
      </c>
      <c r="D70" s="100" t="s">
        <v>58</v>
      </c>
      <c r="E70" s="101">
        <f>0.18*0.565*4</f>
        <v>0.4068</v>
      </c>
      <c r="F70" s="101"/>
      <c r="G70" s="101"/>
      <c r="H70" s="101"/>
      <c r="I70" s="27">
        <f t="shared" si="13"/>
        <v>0</v>
      </c>
      <c r="J70" s="28">
        <f t="shared" si="14"/>
        <v>0</v>
      </c>
      <c r="K70" s="29">
        <f t="shared" si="15"/>
        <v>0</v>
      </c>
      <c r="L70" s="96"/>
      <c r="M70" s="86">
        <v>1</v>
      </c>
    </row>
    <row r="71" s="86" customFormat="1" ht="48" outlineLevel="2" spans="1:13">
      <c r="A71" s="103">
        <f t="shared" si="12"/>
        <v>6</v>
      </c>
      <c r="B71" s="105" t="s">
        <v>86</v>
      </c>
      <c r="C71" s="106" t="s">
        <v>87</v>
      </c>
      <c r="D71" s="105" t="s">
        <v>65</v>
      </c>
      <c r="E71" s="101">
        <v>16.2</v>
      </c>
      <c r="F71" s="101"/>
      <c r="G71" s="101"/>
      <c r="H71" s="101"/>
      <c r="I71" s="27">
        <f t="shared" si="13"/>
        <v>0</v>
      </c>
      <c r="J71" s="28">
        <f t="shared" si="14"/>
        <v>0</v>
      </c>
      <c r="K71" s="29">
        <f t="shared" si="15"/>
        <v>0</v>
      </c>
      <c r="L71" s="96"/>
      <c r="M71" s="86">
        <v>1</v>
      </c>
    </row>
    <row r="72" s="86" customFormat="1" ht="48" outlineLevel="2" spans="1:13">
      <c r="A72" s="103">
        <f t="shared" si="12"/>
        <v>7</v>
      </c>
      <c r="B72" s="105" t="s">
        <v>92</v>
      </c>
      <c r="C72" s="106" t="s">
        <v>93</v>
      </c>
      <c r="D72" s="105" t="s">
        <v>65</v>
      </c>
      <c r="E72" s="101">
        <v>16.2</v>
      </c>
      <c r="F72" s="101"/>
      <c r="G72" s="101"/>
      <c r="H72" s="101"/>
      <c r="I72" s="27">
        <f t="shared" si="13"/>
        <v>0</v>
      </c>
      <c r="J72" s="28">
        <f t="shared" si="14"/>
        <v>0</v>
      </c>
      <c r="K72" s="29">
        <f t="shared" si="15"/>
        <v>0</v>
      </c>
      <c r="L72" s="96"/>
      <c r="M72" s="86">
        <v>1</v>
      </c>
    </row>
    <row r="73" s="86" customFormat="1" ht="48" outlineLevel="2" spans="1:13">
      <c r="A73" s="103">
        <f t="shared" si="12"/>
        <v>8</v>
      </c>
      <c r="B73" s="105" t="s">
        <v>94</v>
      </c>
      <c r="C73" s="106" t="s">
        <v>95</v>
      </c>
      <c r="D73" s="105" t="s">
        <v>65</v>
      </c>
      <c r="E73" s="101">
        <v>16.2</v>
      </c>
      <c r="F73" s="101"/>
      <c r="G73" s="101"/>
      <c r="H73" s="101"/>
      <c r="I73" s="27">
        <f t="shared" si="13"/>
        <v>0</v>
      </c>
      <c r="J73" s="28">
        <f t="shared" si="14"/>
        <v>0</v>
      </c>
      <c r="K73" s="29">
        <f t="shared" si="15"/>
        <v>0</v>
      </c>
      <c r="L73" s="96"/>
      <c r="M73" s="86">
        <v>1</v>
      </c>
    </row>
    <row r="74" s="86" customFormat="1" ht="24" customHeight="1" outlineLevel="1" spans="1:13">
      <c r="A74" s="97"/>
      <c r="B74" s="98" t="s">
        <v>96</v>
      </c>
      <c r="C74" s="99"/>
      <c r="D74" s="100"/>
      <c r="E74" s="101"/>
      <c r="F74" s="101"/>
      <c r="G74" s="101"/>
      <c r="H74" s="101"/>
      <c r="I74" s="101"/>
      <c r="J74" s="101"/>
      <c r="K74" s="102"/>
      <c r="L74" s="96"/>
    </row>
    <row r="75" s="86" customFormat="1" ht="96" outlineLevel="2" spans="1:13">
      <c r="A75" s="103">
        <f t="shared" ref="A75:A80" si="16">1+N(A74)</f>
        <v>1</v>
      </c>
      <c r="B75" s="98" t="s">
        <v>97</v>
      </c>
      <c r="C75" s="108" t="s">
        <v>98</v>
      </c>
      <c r="D75" s="100" t="s">
        <v>58</v>
      </c>
      <c r="E75" s="101">
        <f>28.2-4.4</f>
        <v>23.8</v>
      </c>
      <c r="F75" s="101"/>
      <c r="G75" s="101"/>
      <c r="H75" s="101"/>
      <c r="I75" s="27">
        <f t="shared" ref="I75:I80" si="17">(F75+G75+H75)*$I$3</f>
        <v>0</v>
      </c>
      <c r="J75" s="28">
        <f t="shared" ref="J75:J80" si="18">ROUND(SUM(F75:I75),2)</f>
        <v>0</v>
      </c>
      <c r="K75" s="29">
        <f t="shared" ref="K75:K80" si="19">ROUND(J75*E75,2)</f>
        <v>0</v>
      </c>
      <c r="L75" s="96"/>
      <c r="M75" s="86">
        <v>1</v>
      </c>
    </row>
    <row r="76" s="86" customFormat="1" ht="48" outlineLevel="2" spans="1:13">
      <c r="A76" s="103">
        <f t="shared" si="16"/>
        <v>2</v>
      </c>
      <c r="B76" s="98" t="s">
        <v>128</v>
      </c>
      <c r="C76" s="108" t="s">
        <v>129</v>
      </c>
      <c r="D76" s="100" t="s">
        <v>58</v>
      </c>
      <c r="E76" s="101">
        <v>4.4</v>
      </c>
      <c r="F76" s="101"/>
      <c r="G76" s="101"/>
      <c r="H76" s="101"/>
      <c r="I76" s="27">
        <f t="shared" si="17"/>
        <v>0</v>
      </c>
      <c r="J76" s="28">
        <f t="shared" si="18"/>
        <v>0</v>
      </c>
      <c r="K76" s="29">
        <f t="shared" si="19"/>
        <v>0</v>
      </c>
      <c r="L76" s="96"/>
      <c r="M76" s="86">
        <v>1</v>
      </c>
    </row>
    <row r="77" s="86" customFormat="1" ht="72" customHeight="1" outlineLevel="2" spans="1:13">
      <c r="A77" s="103">
        <f t="shared" si="16"/>
        <v>3</v>
      </c>
      <c r="B77" s="98" t="s">
        <v>99</v>
      </c>
      <c r="C77" s="108" t="s">
        <v>100</v>
      </c>
      <c r="D77" s="100" t="s">
        <v>65</v>
      </c>
      <c r="E77" s="101">
        <v>5.5</v>
      </c>
      <c r="F77" s="101"/>
      <c r="G77" s="101"/>
      <c r="H77" s="101"/>
      <c r="I77" s="27">
        <f t="shared" si="17"/>
        <v>0</v>
      </c>
      <c r="J77" s="28">
        <f t="shared" si="18"/>
        <v>0</v>
      </c>
      <c r="K77" s="29">
        <f t="shared" si="19"/>
        <v>0</v>
      </c>
      <c r="L77" s="96"/>
      <c r="M77" s="86">
        <v>1</v>
      </c>
    </row>
    <row r="78" s="86" customFormat="1" ht="72" customHeight="1" outlineLevel="2" spans="1:13">
      <c r="A78" s="103">
        <f t="shared" si="16"/>
        <v>4</v>
      </c>
      <c r="B78" s="98" t="s">
        <v>101</v>
      </c>
      <c r="C78" s="99" t="s">
        <v>102</v>
      </c>
      <c r="D78" s="100" t="s">
        <v>65</v>
      </c>
      <c r="E78" s="101">
        <v>5.5</v>
      </c>
      <c r="F78" s="101"/>
      <c r="G78" s="101"/>
      <c r="H78" s="101"/>
      <c r="I78" s="27">
        <f t="shared" si="17"/>
        <v>0</v>
      </c>
      <c r="J78" s="28">
        <f t="shared" si="18"/>
        <v>0</v>
      </c>
      <c r="K78" s="29">
        <f t="shared" si="19"/>
        <v>0</v>
      </c>
      <c r="L78" s="96"/>
      <c r="M78" s="86">
        <v>1</v>
      </c>
    </row>
    <row r="79" s="86" customFormat="1" ht="72" customHeight="1" outlineLevel="2" spans="1:13">
      <c r="A79" s="103">
        <f t="shared" si="16"/>
        <v>5</v>
      </c>
      <c r="B79" s="98" t="s">
        <v>103</v>
      </c>
      <c r="C79" s="99" t="s">
        <v>104</v>
      </c>
      <c r="D79" s="100" t="s">
        <v>65</v>
      </c>
      <c r="E79" s="101">
        <f>1.2*2*1</f>
        <v>2.4</v>
      </c>
      <c r="F79" s="101"/>
      <c r="G79" s="101"/>
      <c r="H79" s="101"/>
      <c r="I79" s="27">
        <f t="shared" si="17"/>
        <v>0</v>
      </c>
      <c r="J79" s="28">
        <f t="shared" si="18"/>
        <v>0</v>
      </c>
      <c r="K79" s="29">
        <f t="shared" si="19"/>
        <v>0</v>
      </c>
      <c r="L79" s="96"/>
      <c r="M79" s="86">
        <v>1</v>
      </c>
    </row>
    <row r="80" s="86" customFormat="1" ht="72" customHeight="1" outlineLevel="2" spans="1:13">
      <c r="A80" s="103">
        <f t="shared" si="16"/>
        <v>6</v>
      </c>
      <c r="B80" s="98" t="s">
        <v>105</v>
      </c>
      <c r="C80" s="99" t="s">
        <v>106</v>
      </c>
      <c r="D80" s="100" t="s">
        <v>58</v>
      </c>
      <c r="E80" s="101">
        <f>23.8+4.4+5.5*0.3</f>
        <v>29.85</v>
      </c>
      <c r="F80" s="101"/>
      <c r="G80" s="101"/>
      <c r="H80" s="101"/>
      <c r="I80" s="27">
        <f t="shared" si="17"/>
        <v>0</v>
      </c>
      <c r="J80" s="28">
        <f t="shared" si="18"/>
        <v>0</v>
      </c>
      <c r="K80" s="29">
        <f t="shared" si="19"/>
        <v>0</v>
      </c>
      <c r="L80" s="96"/>
      <c r="M80" s="86">
        <v>1</v>
      </c>
    </row>
    <row r="81" s="86" customFormat="1" ht="24" customHeight="1" outlineLevel="1" spans="1:15">
      <c r="A81" s="97"/>
      <c r="B81" s="98" t="s">
        <v>107</v>
      </c>
      <c r="C81" s="99"/>
      <c r="D81" s="100"/>
      <c r="E81" s="101"/>
      <c r="F81" s="101"/>
      <c r="G81" s="101"/>
      <c r="H81" s="101"/>
      <c r="I81" s="101"/>
      <c r="J81" s="101"/>
      <c r="K81" s="102"/>
      <c r="L81" s="96"/>
    </row>
    <row r="82" s="86" customFormat="1" ht="60" outlineLevel="2" spans="1:15">
      <c r="A82" s="103">
        <f>1+N(A81)</f>
        <v>1</v>
      </c>
      <c r="B82" s="98" t="s">
        <v>130</v>
      </c>
      <c r="C82" s="106" t="s">
        <v>131</v>
      </c>
      <c r="D82" s="100" t="s">
        <v>58</v>
      </c>
      <c r="E82" s="101">
        <f>1.41*3</f>
        <v>4.23</v>
      </c>
      <c r="F82" s="101"/>
      <c r="G82" s="101"/>
      <c r="H82" s="101"/>
      <c r="I82" s="27">
        <f>(F82+G82+H82)*$I$3</f>
        <v>0</v>
      </c>
      <c r="J82" s="28">
        <f>ROUND(SUM(F82:I82),2)</f>
        <v>0</v>
      </c>
      <c r="K82" s="29">
        <f>ROUND(J82*E82,2)</f>
        <v>0</v>
      </c>
      <c r="L82" s="96"/>
      <c r="M82" s="86">
        <v>1</v>
      </c>
    </row>
    <row r="83" s="86" customFormat="1" ht="48" outlineLevel="2" spans="1:15">
      <c r="A83" s="103">
        <f>1+N(A82)</f>
        <v>2</v>
      </c>
      <c r="B83" s="98" t="s">
        <v>132</v>
      </c>
      <c r="C83" s="106" t="s">
        <v>133</v>
      </c>
      <c r="D83" s="100" t="s">
        <v>58</v>
      </c>
      <c r="E83" s="101">
        <f>3*0.8*3.2</f>
        <v>7.68</v>
      </c>
      <c r="F83" s="101"/>
      <c r="G83" s="101"/>
      <c r="H83" s="101"/>
      <c r="I83" s="27">
        <f>(F83+G83+H83)*$I$3</f>
        <v>0</v>
      </c>
      <c r="J83" s="28">
        <f>ROUND(SUM(F83:I83),2)</f>
        <v>0</v>
      </c>
      <c r="K83" s="29">
        <f>ROUND(J83*E83,2)</f>
        <v>0</v>
      </c>
      <c r="L83" s="96"/>
      <c r="M83" s="86">
        <v>1</v>
      </c>
    </row>
    <row r="84" s="86" customFormat="1" ht="24" customHeight="1" outlineLevel="1" spans="1:15">
      <c r="A84" s="92" t="s">
        <v>134</v>
      </c>
      <c r="B84" s="93" t="s">
        <v>135</v>
      </c>
      <c r="C84" s="93"/>
      <c r="D84" s="94"/>
      <c r="E84" s="95"/>
      <c r="F84" s="95"/>
      <c r="G84" s="95"/>
      <c r="H84" s="95"/>
      <c r="I84" s="95"/>
      <c r="J84" s="95"/>
      <c r="K84" s="23"/>
      <c r="L84" s="96"/>
      <c r="O84" s="86" t="str">
        <f>_xlfn.DISPIMG("ID_248119BFBC6C45409BF72E1F8700A056",1)</f>
        <v>=DISPIMG("ID_248119BFBC6C45409BF72E1F8700A056",1)</v>
      </c>
    </row>
    <row r="85" s="86" customFormat="1" ht="24" customHeight="1" outlineLevel="1" spans="1:15">
      <c r="A85" s="97"/>
      <c r="B85" s="98" t="s">
        <v>55</v>
      </c>
      <c r="C85" s="99"/>
      <c r="D85" s="100"/>
      <c r="E85" s="101"/>
      <c r="F85" s="101"/>
      <c r="G85" s="101"/>
      <c r="H85" s="101"/>
      <c r="I85" s="101"/>
      <c r="J85" s="101"/>
      <c r="K85" s="102"/>
      <c r="L85" s="96"/>
    </row>
    <row r="86" s="86" customFormat="1" ht="96" outlineLevel="2" spans="1:15">
      <c r="A86" s="103">
        <f>1+N(A85)</f>
        <v>1</v>
      </c>
      <c r="B86" s="98" t="s">
        <v>56</v>
      </c>
      <c r="C86" s="99" t="s">
        <v>57</v>
      </c>
      <c r="D86" s="100" t="s">
        <v>58</v>
      </c>
      <c r="E86" s="101">
        <v>4.86</v>
      </c>
      <c r="F86" s="101"/>
      <c r="G86" s="101"/>
      <c r="H86" s="27"/>
      <c r="I86" s="27">
        <f>(F86+G86+H86)*$I$3</f>
        <v>0</v>
      </c>
      <c r="J86" s="28">
        <f>ROUND(SUM(F86:I86),2)</f>
        <v>0</v>
      </c>
      <c r="K86" s="29">
        <f>ROUND(J86*E86,2)</f>
        <v>0</v>
      </c>
      <c r="L86" s="96"/>
      <c r="M86" s="86">
        <v>1</v>
      </c>
    </row>
    <row r="87" s="86" customFormat="1" ht="108" outlineLevel="2" spans="1:15">
      <c r="A87" s="103">
        <f>1+N(A86)</f>
        <v>2</v>
      </c>
      <c r="B87" s="98" t="s">
        <v>59</v>
      </c>
      <c r="C87" s="99" t="s">
        <v>60</v>
      </c>
      <c r="D87" s="100" t="s">
        <v>58</v>
      </c>
      <c r="E87" s="101">
        <v>11.36</v>
      </c>
      <c r="F87" s="101"/>
      <c r="G87" s="101"/>
      <c r="H87" s="101"/>
      <c r="I87" s="27">
        <f>(F87+G87+H87)*$I$3</f>
        <v>0</v>
      </c>
      <c r="J87" s="28">
        <f>ROUND(SUM(F87:I87),2)</f>
        <v>0</v>
      </c>
      <c r="K87" s="29">
        <f>ROUND(J87*E87,2)</f>
        <v>0</v>
      </c>
      <c r="L87" s="96"/>
      <c r="M87" s="86">
        <v>1</v>
      </c>
    </row>
    <row r="88" s="86" customFormat="1" ht="36" outlineLevel="2" spans="1:15">
      <c r="A88" s="103">
        <f>1+N(A87)</f>
        <v>3</v>
      </c>
      <c r="B88" s="98" t="s">
        <v>63</v>
      </c>
      <c r="C88" s="99" t="s">
        <v>64</v>
      </c>
      <c r="D88" s="100" t="s">
        <v>65</v>
      </c>
      <c r="E88" s="101">
        <v>13.36</v>
      </c>
      <c r="F88" s="101"/>
      <c r="G88" s="101"/>
      <c r="H88" s="101"/>
      <c r="I88" s="27">
        <f>(F88+G88+H88)*$I$3</f>
        <v>0</v>
      </c>
      <c r="J88" s="28">
        <f>ROUND(SUM(F88:I88),2)</f>
        <v>0</v>
      </c>
      <c r="K88" s="29">
        <f>ROUND(J88*E88,2)</f>
        <v>0</v>
      </c>
      <c r="L88" s="96"/>
      <c r="M88" s="86">
        <v>1</v>
      </c>
    </row>
    <row r="89" s="86" customFormat="1" ht="48" outlineLevel="2" spans="1:15">
      <c r="A89" s="103">
        <f>1+N(A88)</f>
        <v>4</v>
      </c>
      <c r="B89" s="98" t="s">
        <v>66</v>
      </c>
      <c r="C89" s="99" t="s">
        <v>67</v>
      </c>
      <c r="D89" s="100" t="s">
        <v>58</v>
      </c>
      <c r="E89" s="101">
        <v>16.22</v>
      </c>
      <c r="F89" s="101"/>
      <c r="G89" s="101"/>
      <c r="H89" s="101"/>
      <c r="I89" s="27">
        <f>(F89+G89+H89)*$I$3</f>
        <v>0</v>
      </c>
      <c r="J89" s="28">
        <f>ROUND(SUM(F89:I89),2)</f>
        <v>0</v>
      </c>
      <c r="K89" s="29">
        <f>ROUND(J89*E89,2)</f>
        <v>0</v>
      </c>
      <c r="L89" s="96"/>
      <c r="M89" s="86">
        <v>1</v>
      </c>
    </row>
    <row r="90" s="86" customFormat="1" ht="24" customHeight="1" outlineLevel="1" spans="1:15">
      <c r="A90" s="97"/>
      <c r="B90" s="98" t="s">
        <v>68</v>
      </c>
      <c r="C90" s="99"/>
      <c r="D90" s="100"/>
      <c r="E90" s="101"/>
      <c r="F90" s="101"/>
      <c r="G90" s="101"/>
      <c r="H90" s="101"/>
      <c r="I90" s="101"/>
      <c r="J90" s="101"/>
      <c r="K90" s="102"/>
      <c r="L90" s="96"/>
    </row>
    <row r="91" s="86" customFormat="1" ht="72" outlineLevel="2" spans="1:15">
      <c r="A91" s="103">
        <f t="shared" ref="A91:A99" si="20">1+N(A90)</f>
        <v>1</v>
      </c>
      <c r="B91" s="104" t="s">
        <v>69</v>
      </c>
      <c r="C91" s="99" t="s">
        <v>70</v>
      </c>
      <c r="D91" s="100" t="s">
        <v>58</v>
      </c>
      <c r="E91" s="101">
        <v>4.772</v>
      </c>
      <c r="F91" s="101"/>
      <c r="G91" s="101"/>
      <c r="H91" s="101"/>
      <c r="I91" s="27">
        <f t="shared" ref="I91:I99" si="21">(F91+G91+H91)*$I$3</f>
        <v>0</v>
      </c>
      <c r="J91" s="28">
        <f t="shared" ref="J91:J99" si="22">ROUND(SUM(F91:I91),2)</f>
        <v>0</v>
      </c>
      <c r="K91" s="29">
        <f t="shared" ref="K91:K99" si="23">ROUND(J91*E91,2)</f>
        <v>0</v>
      </c>
      <c r="L91" s="96"/>
      <c r="M91" s="86">
        <v>1</v>
      </c>
    </row>
    <row r="92" s="86" customFormat="1" ht="96" outlineLevel="2" spans="1:15">
      <c r="A92" s="103">
        <f t="shared" si="20"/>
        <v>2</v>
      </c>
      <c r="B92" s="105" t="s">
        <v>71</v>
      </c>
      <c r="C92" s="106" t="s">
        <v>72</v>
      </c>
      <c r="D92" s="100" t="s">
        <v>58</v>
      </c>
      <c r="E92" s="101">
        <f>24.446+0.727</f>
        <v>25.173</v>
      </c>
      <c r="F92" s="101"/>
      <c r="G92" s="101"/>
      <c r="H92" s="101"/>
      <c r="I92" s="27">
        <f t="shared" si="21"/>
        <v>0</v>
      </c>
      <c r="J92" s="28">
        <f t="shared" si="22"/>
        <v>0</v>
      </c>
      <c r="K92" s="29">
        <f t="shared" si="23"/>
        <v>0</v>
      </c>
      <c r="L92" s="96"/>
      <c r="M92" s="86">
        <v>1</v>
      </c>
    </row>
    <row r="93" s="86" customFormat="1" ht="48" outlineLevel="2" spans="1:15">
      <c r="A93" s="103">
        <f t="shared" si="20"/>
        <v>3</v>
      </c>
      <c r="B93" s="105" t="s">
        <v>79</v>
      </c>
      <c r="C93" s="106" t="s">
        <v>78</v>
      </c>
      <c r="D93" s="105" t="s">
        <v>58</v>
      </c>
      <c r="E93" s="101">
        <f>0.296*3*2*2</f>
        <v>3.552</v>
      </c>
      <c r="F93" s="101"/>
      <c r="G93" s="101"/>
      <c r="H93" s="101"/>
      <c r="I93" s="27">
        <f t="shared" si="21"/>
        <v>0</v>
      </c>
      <c r="J93" s="28">
        <f t="shared" si="22"/>
        <v>0</v>
      </c>
      <c r="K93" s="29">
        <f t="shared" si="23"/>
        <v>0</v>
      </c>
      <c r="L93" s="96"/>
      <c r="M93" s="86">
        <v>1</v>
      </c>
    </row>
    <row r="94" s="86" customFormat="1" ht="60" outlineLevel="2" spans="1:15">
      <c r="A94" s="103">
        <f t="shared" si="20"/>
        <v>4</v>
      </c>
      <c r="B94" s="105" t="s">
        <v>80</v>
      </c>
      <c r="C94" s="106" t="s">
        <v>81</v>
      </c>
      <c r="D94" s="105" t="s">
        <v>58</v>
      </c>
      <c r="E94" s="101">
        <f>+(0.061+0.72+0.114+0.074)*0.95*2</f>
        <v>1.8411</v>
      </c>
      <c r="F94" s="101"/>
      <c r="G94" s="101"/>
      <c r="H94" s="101"/>
      <c r="I94" s="27">
        <f t="shared" si="21"/>
        <v>0</v>
      </c>
      <c r="J94" s="28">
        <f t="shared" si="22"/>
        <v>0</v>
      </c>
      <c r="K94" s="29">
        <f t="shared" si="23"/>
        <v>0</v>
      </c>
      <c r="L94" s="96"/>
      <c r="M94" s="86">
        <v>1</v>
      </c>
    </row>
    <row r="95" s="86" customFormat="1" ht="48" outlineLevel="2" spans="1:15">
      <c r="A95" s="103">
        <f t="shared" si="20"/>
        <v>5</v>
      </c>
      <c r="B95" s="105" t="s">
        <v>82</v>
      </c>
      <c r="C95" s="106" t="s">
        <v>83</v>
      </c>
      <c r="D95" s="105" t="s">
        <v>58</v>
      </c>
      <c r="E95" s="101">
        <v>0.252</v>
      </c>
      <c r="F95" s="101"/>
      <c r="G95" s="101"/>
      <c r="H95" s="101"/>
      <c r="I95" s="27">
        <f t="shared" si="21"/>
        <v>0</v>
      </c>
      <c r="J95" s="28">
        <f t="shared" si="22"/>
        <v>0</v>
      </c>
      <c r="K95" s="29">
        <f t="shared" si="23"/>
        <v>0</v>
      </c>
      <c r="L95" s="96"/>
      <c r="M95" s="86">
        <v>1</v>
      </c>
    </row>
    <row r="96" s="86" customFormat="1" ht="48" outlineLevel="2" spans="1:15">
      <c r="A96" s="103">
        <f t="shared" si="20"/>
        <v>6</v>
      </c>
      <c r="B96" s="105" t="s">
        <v>86</v>
      </c>
      <c r="C96" s="106" t="s">
        <v>87</v>
      </c>
      <c r="D96" s="105" t="s">
        <v>65</v>
      </c>
      <c r="E96" s="101">
        <v>10.298</v>
      </c>
      <c r="F96" s="101"/>
      <c r="G96" s="101"/>
      <c r="H96" s="101"/>
      <c r="I96" s="27">
        <f t="shared" si="21"/>
        <v>0</v>
      </c>
      <c r="J96" s="28">
        <f t="shared" si="22"/>
        <v>0</v>
      </c>
      <c r="K96" s="29">
        <f t="shared" si="23"/>
        <v>0</v>
      </c>
      <c r="L96" s="96"/>
      <c r="M96" s="86">
        <v>1</v>
      </c>
    </row>
    <row r="97" s="86" customFormat="1" ht="36" outlineLevel="2" spans="1:15">
      <c r="A97" s="103">
        <f t="shared" si="20"/>
        <v>7</v>
      </c>
      <c r="B97" s="105" t="s">
        <v>88</v>
      </c>
      <c r="C97" s="106" t="s">
        <v>89</v>
      </c>
      <c r="D97" s="105" t="s">
        <v>65</v>
      </c>
      <c r="E97" s="101">
        <f>0.17*2</f>
        <v>0.34</v>
      </c>
      <c r="F97" s="101"/>
      <c r="G97" s="101"/>
      <c r="H97" s="101"/>
      <c r="I97" s="27">
        <f t="shared" si="21"/>
        <v>0</v>
      </c>
      <c r="J97" s="28">
        <f t="shared" si="22"/>
        <v>0</v>
      </c>
      <c r="K97" s="29">
        <f t="shared" si="23"/>
        <v>0</v>
      </c>
      <c r="L97" s="96"/>
      <c r="M97" s="86">
        <v>1</v>
      </c>
    </row>
    <row r="98" s="86" customFormat="1" ht="48" outlineLevel="2" spans="1:15">
      <c r="A98" s="103">
        <f t="shared" si="20"/>
        <v>8</v>
      </c>
      <c r="B98" s="105" t="s">
        <v>92</v>
      </c>
      <c r="C98" s="106" t="s">
        <v>93</v>
      </c>
      <c r="D98" s="105" t="s">
        <v>65</v>
      </c>
      <c r="E98" s="101">
        <v>9.958</v>
      </c>
      <c r="F98" s="101"/>
      <c r="G98" s="101"/>
      <c r="H98" s="101"/>
      <c r="I98" s="27">
        <f t="shared" si="21"/>
        <v>0</v>
      </c>
      <c r="J98" s="28">
        <f t="shared" si="22"/>
        <v>0</v>
      </c>
      <c r="K98" s="29">
        <f t="shared" si="23"/>
        <v>0</v>
      </c>
      <c r="L98" s="96"/>
      <c r="M98" s="86">
        <v>1</v>
      </c>
    </row>
    <row r="99" s="86" customFormat="1" ht="48" outlineLevel="2" spans="1:15">
      <c r="A99" s="103">
        <f t="shared" si="20"/>
        <v>9</v>
      </c>
      <c r="B99" s="105" t="s">
        <v>94</v>
      </c>
      <c r="C99" s="106" t="s">
        <v>95</v>
      </c>
      <c r="D99" s="105" t="s">
        <v>65</v>
      </c>
      <c r="E99" s="101">
        <v>10.298</v>
      </c>
      <c r="F99" s="101"/>
      <c r="G99" s="101"/>
      <c r="H99" s="101"/>
      <c r="I99" s="27">
        <f t="shared" si="21"/>
        <v>0</v>
      </c>
      <c r="J99" s="28">
        <f t="shared" si="22"/>
        <v>0</v>
      </c>
      <c r="K99" s="29">
        <f t="shared" si="23"/>
        <v>0</v>
      </c>
      <c r="L99" s="96"/>
      <c r="M99" s="86">
        <v>1</v>
      </c>
    </row>
    <row r="100" s="86" customFormat="1" ht="24" customHeight="1" outlineLevel="1" spans="1:15">
      <c r="A100" s="97"/>
      <c r="B100" s="98" t="s">
        <v>96</v>
      </c>
      <c r="C100" s="99"/>
      <c r="D100" s="100"/>
      <c r="E100" s="101"/>
      <c r="F100" s="101"/>
      <c r="G100" s="101"/>
      <c r="H100" s="101"/>
      <c r="I100" s="101"/>
      <c r="J100" s="101"/>
      <c r="K100" s="102"/>
      <c r="L100" s="96"/>
    </row>
    <row r="101" s="86" customFormat="1" ht="96" outlineLevel="2" spans="1:15">
      <c r="A101" s="103">
        <f>1+N(A100)</f>
        <v>1</v>
      </c>
      <c r="B101" s="98" t="s">
        <v>97</v>
      </c>
      <c r="C101" s="108" t="s">
        <v>98</v>
      </c>
      <c r="D101" s="100" t="s">
        <v>58</v>
      </c>
      <c r="E101" s="101">
        <v>16.22</v>
      </c>
      <c r="F101" s="101"/>
      <c r="G101" s="101"/>
      <c r="H101" s="101"/>
      <c r="I101" s="27">
        <f>(F101+G101+H101)*$I$3</f>
        <v>0</v>
      </c>
      <c r="J101" s="28">
        <f>ROUND(SUM(F101:I101),2)</f>
        <v>0</v>
      </c>
      <c r="K101" s="29">
        <f>ROUND(J101*E101,2)</f>
        <v>0</v>
      </c>
      <c r="L101" s="96"/>
      <c r="M101" s="86">
        <v>1</v>
      </c>
    </row>
    <row r="102" s="86" customFormat="1" ht="72" customHeight="1" outlineLevel="2" spans="1:15">
      <c r="A102" s="103">
        <f>1+N(A101)</f>
        <v>2</v>
      </c>
      <c r="B102" s="98" t="s">
        <v>99</v>
      </c>
      <c r="C102" s="108" t="s">
        <v>100</v>
      </c>
      <c r="D102" s="100" t="s">
        <v>65</v>
      </c>
      <c r="E102" s="101">
        <v>13.55</v>
      </c>
      <c r="F102" s="101"/>
      <c r="G102" s="101"/>
      <c r="H102" s="101"/>
      <c r="I102" s="27">
        <f>(F102+G102+H102)*$I$3</f>
        <v>0</v>
      </c>
      <c r="J102" s="28">
        <f>ROUND(SUM(F102:I102),2)</f>
        <v>0</v>
      </c>
      <c r="K102" s="29">
        <f>ROUND(J102*E102,2)</f>
        <v>0</v>
      </c>
      <c r="L102" s="96"/>
      <c r="M102" s="86">
        <v>1</v>
      </c>
    </row>
    <row r="103" s="86" customFormat="1" ht="72" customHeight="1" outlineLevel="2" spans="1:15">
      <c r="A103" s="103">
        <f>1+N(A102)</f>
        <v>3</v>
      </c>
      <c r="B103" s="98" t="s">
        <v>101</v>
      </c>
      <c r="C103" s="99" t="s">
        <v>102</v>
      </c>
      <c r="D103" s="100" t="s">
        <v>65</v>
      </c>
      <c r="E103" s="101">
        <v>13.55</v>
      </c>
      <c r="F103" s="101"/>
      <c r="G103" s="101"/>
      <c r="H103" s="101"/>
      <c r="I103" s="27">
        <f>(F103+G103+H103)*$I$3</f>
        <v>0</v>
      </c>
      <c r="J103" s="28">
        <f>ROUND(SUM(F103:I103),2)</f>
        <v>0</v>
      </c>
      <c r="K103" s="29">
        <f>ROUND(J103*E103,2)</f>
        <v>0</v>
      </c>
      <c r="L103" s="96"/>
      <c r="M103" s="86">
        <v>1</v>
      </c>
    </row>
    <row r="104" s="86" customFormat="1" ht="72" customHeight="1" outlineLevel="2" spans="1:15">
      <c r="A104" s="103">
        <f>1+N(A103)</f>
        <v>4</v>
      </c>
      <c r="B104" s="98" t="s">
        <v>103</v>
      </c>
      <c r="C104" s="99" t="s">
        <v>104</v>
      </c>
      <c r="D104" s="100" t="s">
        <v>65</v>
      </c>
      <c r="E104" s="101">
        <f>1.2*2*1</f>
        <v>2.4</v>
      </c>
      <c r="F104" s="101"/>
      <c r="G104" s="101"/>
      <c r="H104" s="101"/>
      <c r="I104" s="27">
        <f>(F104+G104+H104)*$I$3</f>
        <v>0</v>
      </c>
      <c r="J104" s="28">
        <f>ROUND(SUM(F104:I104),2)</f>
        <v>0</v>
      </c>
      <c r="K104" s="29">
        <f>ROUND(J104*E104,2)</f>
        <v>0</v>
      </c>
      <c r="L104" s="96"/>
      <c r="M104" s="86">
        <v>1</v>
      </c>
    </row>
    <row r="105" s="86" customFormat="1" ht="72" customHeight="1" outlineLevel="2" spans="1:15">
      <c r="A105" s="103">
        <f>1+N(A104)</f>
        <v>5</v>
      </c>
      <c r="B105" s="98" t="s">
        <v>105</v>
      </c>
      <c r="C105" s="99" t="s">
        <v>106</v>
      </c>
      <c r="D105" s="100" t="s">
        <v>58</v>
      </c>
      <c r="E105" s="101">
        <f>16.22+13.55*0.3</f>
        <v>20.285</v>
      </c>
      <c r="F105" s="101"/>
      <c r="G105" s="101"/>
      <c r="H105" s="101"/>
      <c r="I105" s="27">
        <f>(F105+G105+H105)*$I$3</f>
        <v>0</v>
      </c>
      <c r="J105" s="28">
        <f>ROUND(SUM(F105:I105),2)</f>
        <v>0</v>
      </c>
      <c r="K105" s="29">
        <f>ROUND(J105*E105,2)</f>
        <v>0</v>
      </c>
      <c r="L105" s="96"/>
      <c r="M105" s="86">
        <v>1</v>
      </c>
    </row>
    <row r="106" s="86" customFormat="1" ht="24" customHeight="1" outlineLevel="1" spans="1:15">
      <c r="A106" s="97"/>
      <c r="B106" s="98" t="s">
        <v>107</v>
      </c>
      <c r="C106" s="99"/>
      <c r="D106" s="100"/>
      <c r="E106" s="101"/>
      <c r="F106" s="101"/>
      <c r="G106" s="101"/>
      <c r="H106" s="101"/>
      <c r="I106" s="101"/>
      <c r="J106" s="101"/>
      <c r="K106" s="102"/>
      <c r="L106" s="96"/>
    </row>
    <row r="107" s="86" customFormat="1" ht="36" outlineLevel="2" spans="1:15">
      <c r="A107" s="103">
        <f>1+N(A106)</f>
        <v>1</v>
      </c>
      <c r="B107" s="98" t="s">
        <v>136</v>
      </c>
      <c r="C107" s="99" t="s">
        <v>109</v>
      </c>
      <c r="D107" s="100" t="s">
        <v>58</v>
      </c>
      <c r="E107" s="101">
        <f>0.75*3</f>
        <v>2.25</v>
      </c>
      <c r="F107" s="101"/>
      <c r="G107" s="101"/>
      <c r="H107" s="101"/>
      <c r="I107" s="27">
        <f>(F107+G107+H107)*$I$3</f>
        <v>0</v>
      </c>
      <c r="J107" s="28">
        <f>ROUND(SUM(F107:I107),2)</f>
        <v>0</v>
      </c>
      <c r="K107" s="29">
        <f>ROUND(J107*E107,2)</f>
        <v>0</v>
      </c>
      <c r="L107" s="96"/>
      <c r="M107" s="86">
        <v>1</v>
      </c>
    </row>
    <row r="108" s="86" customFormat="1" ht="36" outlineLevel="2" spans="1:15">
      <c r="A108" s="103">
        <f>1+N(A107)</f>
        <v>2</v>
      </c>
      <c r="B108" s="98" t="s">
        <v>121</v>
      </c>
      <c r="C108" s="99" t="s">
        <v>109</v>
      </c>
      <c r="D108" s="100" t="s">
        <v>58</v>
      </c>
      <c r="E108" s="101">
        <f>0.7*3</f>
        <v>2.1</v>
      </c>
      <c r="F108" s="101"/>
      <c r="G108" s="101"/>
      <c r="H108" s="101"/>
      <c r="I108" s="27">
        <f>(F108+G108+H108)*$I$3</f>
        <v>0</v>
      </c>
      <c r="J108" s="28">
        <f>ROUND(SUM(F108:I108),2)</f>
        <v>0</v>
      </c>
      <c r="K108" s="29">
        <f>ROUND(J108*E108,2)</f>
        <v>0</v>
      </c>
      <c r="L108" s="96"/>
      <c r="M108" s="86">
        <v>1</v>
      </c>
    </row>
    <row r="109" s="86" customFormat="1" ht="72" outlineLevel="2" spans="1:15">
      <c r="A109" s="103">
        <f>1+N(A108)</f>
        <v>3</v>
      </c>
      <c r="B109" s="98" t="s">
        <v>110</v>
      </c>
      <c r="C109" s="106" t="s">
        <v>111</v>
      </c>
      <c r="D109" s="100" t="s">
        <v>58</v>
      </c>
      <c r="E109" s="101">
        <f>1.84*3</f>
        <v>5.52</v>
      </c>
      <c r="F109" s="101"/>
      <c r="G109" s="101"/>
      <c r="H109" s="101"/>
      <c r="I109" s="27">
        <f>(F109+G109+H109)*$I$3</f>
        <v>0</v>
      </c>
      <c r="J109" s="28">
        <f>ROUND(SUM(F109:I109),2)</f>
        <v>0</v>
      </c>
      <c r="K109" s="29">
        <f>ROUND(J109*E109,2)</f>
        <v>0</v>
      </c>
      <c r="L109" s="96"/>
      <c r="M109" s="86">
        <v>1</v>
      </c>
    </row>
    <row r="110" s="86" customFormat="1" ht="36" outlineLevel="2" spans="1:15">
      <c r="A110" s="103">
        <f>1+N(A109)</f>
        <v>4</v>
      </c>
      <c r="B110" s="105" t="s">
        <v>112</v>
      </c>
      <c r="C110" s="106" t="s">
        <v>113</v>
      </c>
      <c r="D110" s="105" t="s">
        <v>58</v>
      </c>
      <c r="E110" s="101">
        <f>(0.255*2)*3</f>
        <v>1.53</v>
      </c>
      <c r="F110" s="101"/>
      <c r="G110" s="101"/>
      <c r="H110" s="101"/>
      <c r="I110" s="27">
        <f>(F110+G110+H110)*$I$3</f>
        <v>0</v>
      </c>
      <c r="J110" s="28">
        <f>ROUND(SUM(F110:I110),2)</f>
        <v>0</v>
      </c>
      <c r="K110" s="29">
        <f>ROUND(J110*E110,2)</f>
        <v>0</v>
      </c>
      <c r="L110" s="96"/>
      <c r="M110" s="86">
        <v>1</v>
      </c>
    </row>
    <row r="111" s="86" customFormat="1" ht="24" customHeight="1" outlineLevel="1" spans="1:15">
      <c r="A111" s="92" t="s">
        <v>137</v>
      </c>
      <c r="B111" s="93" t="s">
        <v>138</v>
      </c>
      <c r="C111" s="93"/>
      <c r="D111" s="94"/>
      <c r="E111" s="95"/>
      <c r="F111" s="95"/>
      <c r="G111" s="95"/>
      <c r="H111" s="95"/>
      <c r="I111" s="95"/>
      <c r="J111" s="95"/>
      <c r="K111" s="23"/>
      <c r="L111" s="96"/>
      <c r="O111" s="86" t="str">
        <f>_xlfn.DISPIMG("ID_6F7EB677A5094C20B2B71D2F1EE10752",1)</f>
        <v>=DISPIMG("ID_6F7EB677A5094C20B2B71D2F1EE10752",1)</v>
      </c>
    </row>
    <row r="112" s="86" customFormat="1" ht="24" customHeight="1" outlineLevel="1" spans="1:15">
      <c r="A112" s="97"/>
      <c r="B112" s="98" t="s">
        <v>55</v>
      </c>
      <c r="C112" s="99"/>
      <c r="D112" s="100"/>
      <c r="E112" s="101"/>
      <c r="F112" s="101"/>
      <c r="G112" s="101"/>
      <c r="H112" s="101"/>
      <c r="I112" s="101"/>
      <c r="J112" s="101"/>
      <c r="K112" s="102"/>
      <c r="L112" s="96"/>
    </row>
    <row r="113" s="86" customFormat="1" ht="96" outlineLevel="2" spans="1:15">
      <c r="A113" s="103">
        <f>1+N(A112)</f>
        <v>1</v>
      </c>
      <c r="B113" s="98" t="s">
        <v>56</v>
      </c>
      <c r="C113" s="99" t="s">
        <v>57</v>
      </c>
      <c r="D113" s="100" t="s">
        <v>58</v>
      </c>
      <c r="E113" s="101">
        <v>0.35</v>
      </c>
      <c r="F113" s="101"/>
      <c r="G113" s="101"/>
      <c r="H113" s="27"/>
      <c r="I113" s="27">
        <f>(F113+G113+H113)*$I$3</f>
        <v>0</v>
      </c>
      <c r="J113" s="28">
        <f>ROUND(SUM(F113:I113),2)</f>
        <v>0</v>
      </c>
      <c r="K113" s="29">
        <f>ROUND(J113*E113,2)</f>
        <v>0</v>
      </c>
      <c r="L113" s="96"/>
      <c r="M113" s="86">
        <v>1</v>
      </c>
    </row>
    <row r="114" s="86" customFormat="1" ht="96" outlineLevel="2" spans="1:15">
      <c r="A114" s="103">
        <f>1+N(A113)</f>
        <v>2</v>
      </c>
      <c r="B114" s="98" t="s">
        <v>61</v>
      </c>
      <c r="C114" s="99" t="s">
        <v>62</v>
      </c>
      <c r="D114" s="100" t="s">
        <v>58</v>
      </c>
      <c r="E114" s="101">
        <v>22.55</v>
      </c>
      <c r="F114" s="101"/>
      <c r="G114" s="101"/>
      <c r="H114" s="27"/>
      <c r="I114" s="27">
        <f>(F114+G114+H114)*$I$3</f>
        <v>0</v>
      </c>
      <c r="J114" s="28">
        <f>ROUND(SUM(F114:I114),2)</f>
        <v>0</v>
      </c>
      <c r="K114" s="29">
        <f>ROUND(J114*E114,2)</f>
        <v>0</v>
      </c>
      <c r="L114" s="96"/>
      <c r="M114" s="86">
        <v>1</v>
      </c>
    </row>
    <row r="115" s="86" customFormat="1" ht="48" outlineLevel="2" spans="1:15">
      <c r="A115" s="103">
        <f>1+N(A114)</f>
        <v>3</v>
      </c>
      <c r="B115" s="98" t="s">
        <v>66</v>
      </c>
      <c r="C115" s="99" t="s">
        <v>67</v>
      </c>
      <c r="D115" s="100" t="s">
        <v>58</v>
      </c>
      <c r="E115" s="101">
        <v>0.35</v>
      </c>
      <c r="F115" s="101"/>
      <c r="G115" s="101"/>
      <c r="H115" s="101"/>
      <c r="I115" s="27">
        <f>(F115+G115+H115)*$I$3</f>
        <v>0</v>
      </c>
      <c r="J115" s="28">
        <f>ROUND(SUM(F115:I115),2)</f>
        <v>0</v>
      </c>
      <c r="K115" s="29">
        <f>ROUND(J115*E115,2)</f>
        <v>0</v>
      </c>
      <c r="L115" s="96"/>
      <c r="M115" s="86">
        <v>1</v>
      </c>
    </row>
    <row r="116" s="86" customFormat="1" ht="24" customHeight="1" outlineLevel="1" spans="1:15">
      <c r="A116" s="97"/>
      <c r="B116" s="98" t="s">
        <v>68</v>
      </c>
      <c r="C116" s="99"/>
      <c r="D116" s="100"/>
      <c r="E116" s="101"/>
      <c r="F116" s="101"/>
      <c r="G116" s="101"/>
      <c r="H116" s="101"/>
      <c r="I116" s="101"/>
      <c r="J116" s="101"/>
      <c r="K116" s="102"/>
      <c r="L116" s="96"/>
    </row>
    <row r="117" s="86" customFormat="1" ht="72" outlineLevel="2" spans="1:15">
      <c r="A117" s="103">
        <f>1+N(A116)</f>
        <v>1</v>
      </c>
      <c r="B117" s="105" t="s">
        <v>75</v>
      </c>
      <c r="C117" s="106" t="s">
        <v>76</v>
      </c>
      <c r="D117" s="105" t="s">
        <v>58</v>
      </c>
      <c r="E117" s="101">
        <f>69.386+1*(3-2)</f>
        <v>70.386</v>
      </c>
      <c r="F117" s="101"/>
      <c r="G117" s="101"/>
      <c r="H117" s="101"/>
      <c r="I117" s="27">
        <f>(F117+G117+H117)*$I$3</f>
        <v>0</v>
      </c>
      <c r="J117" s="28">
        <f>ROUND(SUM(F117:I117),2)</f>
        <v>0</v>
      </c>
      <c r="K117" s="29">
        <f>ROUND(J117*E117,2)</f>
        <v>0</v>
      </c>
      <c r="L117" s="96"/>
      <c r="M117" s="86">
        <v>1</v>
      </c>
    </row>
    <row r="118" s="86" customFormat="1" ht="48" outlineLevel="2" spans="1:15">
      <c r="A118" s="103">
        <f>1+N(A117)</f>
        <v>2</v>
      </c>
      <c r="B118" s="105" t="s">
        <v>139</v>
      </c>
      <c r="C118" s="106" t="s">
        <v>78</v>
      </c>
      <c r="D118" s="105" t="s">
        <v>58</v>
      </c>
      <c r="E118" s="101">
        <f>0.33*3*2+0.98*0.3</f>
        <v>2.274</v>
      </c>
      <c r="F118" s="101"/>
      <c r="G118" s="101"/>
      <c r="H118" s="101"/>
      <c r="I118" s="27">
        <f>(F118+G118+H118)*$I$3</f>
        <v>0</v>
      </c>
      <c r="J118" s="28">
        <f>ROUND(SUM(F118:I118),2)</f>
        <v>0</v>
      </c>
      <c r="K118" s="29">
        <f>ROUND(J118*E118,2)</f>
        <v>0</v>
      </c>
      <c r="L118" s="96"/>
      <c r="M118" s="86">
        <v>1</v>
      </c>
    </row>
    <row r="119" s="86" customFormat="1" ht="60" outlineLevel="2" spans="1:15">
      <c r="A119" s="103">
        <f>1+N(A118)</f>
        <v>3</v>
      </c>
      <c r="B119" s="105" t="s">
        <v>84</v>
      </c>
      <c r="C119" s="106" t="s">
        <v>85</v>
      </c>
      <c r="D119" s="105" t="s">
        <v>58</v>
      </c>
      <c r="E119" s="101">
        <v>1.176</v>
      </c>
      <c r="F119" s="101"/>
      <c r="G119" s="101"/>
      <c r="H119" s="101"/>
      <c r="I119" s="27">
        <f>(F119+G119+H119)*$I$3</f>
        <v>0</v>
      </c>
      <c r="J119" s="28">
        <f>ROUND(SUM(F119:I119),2)</f>
        <v>0</v>
      </c>
      <c r="K119" s="29">
        <f>ROUND(J119*E119,2)</f>
        <v>0</v>
      </c>
      <c r="L119" s="96"/>
      <c r="M119" s="86">
        <v>1</v>
      </c>
    </row>
    <row r="120" s="86" customFormat="1" ht="24" customHeight="1" outlineLevel="1" spans="1:15">
      <c r="A120" s="97"/>
      <c r="B120" s="98" t="s">
        <v>96</v>
      </c>
      <c r="C120" s="99"/>
      <c r="D120" s="100"/>
      <c r="E120" s="101"/>
      <c r="F120" s="101"/>
      <c r="G120" s="101"/>
      <c r="H120" s="101"/>
      <c r="I120" s="101"/>
      <c r="J120" s="101"/>
      <c r="K120" s="102"/>
      <c r="L120" s="96"/>
    </row>
    <row r="121" s="86" customFormat="1" ht="96" outlineLevel="2" spans="1:15">
      <c r="A121" s="103">
        <f>1+N(A120)</f>
        <v>1</v>
      </c>
      <c r="B121" s="98" t="s">
        <v>97</v>
      </c>
      <c r="C121" s="108" t="s">
        <v>98</v>
      </c>
      <c r="D121" s="100" t="s">
        <v>58</v>
      </c>
      <c r="E121" s="101">
        <v>22.55</v>
      </c>
      <c r="F121" s="101"/>
      <c r="G121" s="101"/>
      <c r="H121" s="101"/>
      <c r="I121" s="27">
        <f>(F121+G121+H121)*$I$3</f>
        <v>0</v>
      </c>
      <c r="J121" s="28">
        <f>ROUND(SUM(F121:I121),2)</f>
        <v>0</v>
      </c>
      <c r="K121" s="29">
        <f>ROUND(J121*E121,2)</f>
        <v>0</v>
      </c>
      <c r="L121" s="96"/>
      <c r="M121" s="86">
        <v>1</v>
      </c>
    </row>
    <row r="122" s="86" customFormat="1" ht="72" customHeight="1" outlineLevel="2" spans="1:15">
      <c r="A122" s="103">
        <f>1+N(A121)</f>
        <v>2</v>
      </c>
      <c r="B122" s="98" t="s">
        <v>140</v>
      </c>
      <c r="C122" s="108" t="s">
        <v>141</v>
      </c>
      <c r="D122" s="100" t="s">
        <v>58</v>
      </c>
      <c r="E122" s="101">
        <v>13.55</v>
      </c>
      <c r="F122" s="101"/>
      <c r="G122" s="101"/>
      <c r="H122" s="101"/>
      <c r="I122" s="27">
        <f>(F122+G122+H122)*$I$3</f>
        <v>0</v>
      </c>
      <c r="J122" s="28">
        <f>ROUND(SUM(F122:I122),2)</f>
        <v>0</v>
      </c>
      <c r="K122" s="29">
        <f>ROUND(J122*E122,2)</f>
        <v>0</v>
      </c>
      <c r="L122" s="96"/>
      <c r="M122" s="86">
        <v>1</v>
      </c>
    </row>
    <row r="123" s="86" customFormat="1" ht="72" customHeight="1" outlineLevel="2" spans="1:15">
      <c r="A123" s="103">
        <f>1+N(A122)</f>
        <v>3</v>
      </c>
      <c r="B123" s="98" t="s">
        <v>103</v>
      </c>
      <c r="C123" s="99" t="s">
        <v>104</v>
      </c>
      <c r="D123" s="100" t="s">
        <v>65</v>
      </c>
      <c r="E123" s="101">
        <f>1.2*2*1</f>
        <v>2.4</v>
      </c>
      <c r="F123" s="101"/>
      <c r="G123" s="101"/>
      <c r="H123" s="101"/>
      <c r="I123" s="27">
        <f>(F123+G123+H123)*$I$3</f>
        <v>0</v>
      </c>
      <c r="J123" s="28">
        <f>ROUND(SUM(F123:I123),2)</f>
        <v>0</v>
      </c>
      <c r="K123" s="29">
        <f>ROUND(J123*E123,2)</f>
        <v>0</v>
      </c>
      <c r="L123" s="96"/>
      <c r="M123" s="86">
        <v>1</v>
      </c>
    </row>
    <row r="124" s="86" customFormat="1" ht="24" customHeight="1" outlineLevel="1" spans="1:15">
      <c r="A124" s="97"/>
      <c r="B124" s="98" t="s">
        <v>107</v>
      </c>
      <c r="C124" s="99"/>
      <c r="D124" s="100"/>
      <c r="E124" s="101"/>
      <c r="F124" s="101"/>
      <c r="G124" s="101"/>
      <c r="H124" s="101"/>
      <c r="I124" s="101"/>
      <c r="J124" s="101"/>
      <c r="K124" s="102"/>
      <c r="L124" s="96"/>
    </row>
    <row r="125" s="86" customFormat="1" ht="72" outlineLevel="2" spans="1:15">
      <c r="A125" s="97">
        <v>1</v>
      </c>
      <c r="B125" s="98" t="s">
        <v>142</v>
      </c>
      <c r="C125" s="99" t="s">
        <v>143</v>
      </c>
      <c r="D125" s="100" t="s">
        <v>58</v>
      </c>
      <c r="E125" s="101">
        <f>1*3</f>
        <v>3</v>
      </c>
      <c r="F125" s="101"/>
      <c r="G125" s="101"/>
      <c r="H125" s="101"/>
      <c r="I125" s="27">
        <f>(F125+G125+H125)*10%</f>
        <v>0</v>
      </c>
      <c r="J125" s="28">
        <f>ROUND(SUM(F125:I125),2)</f>
        <v>0</v>
      </c>
      <c r="K125" s="29">
        <f>ROUND(J125*E125,2)</f>
        <v>0</v>
      </c>
      <c r="L125" s="96"/>
      <c r="M125" s="86">
        <v>1</v>
      </c>
    </row>
    <row r="126" s="86" customFormat="1" ht="24" customHeight="1" outlineLevel="1" spans="1:15">
      <c r="A126" s="92" t="s">
        <v>144</v>
      </c>
      <c r="B126" s="93" t="s">
        <v>145</v>
      </c>
      <c r="C126" s="93"/>
      <c r="D126" s="94"/>
      <c r="E126" s="95"/>
      <c r="F126" s="95"/>
      <c r="G126" s="95"/>
      <c r="H126" s="95"/>
      <c r="I126" s="95"/>
      <c r="J126" s="95"/>
      <c r="K126" s="23"/>
      <c r="L126" s="96"/>
      <c r="O126" s="86" t="str">
        <f>_xlfn.DISPIMG("ID_E3C0506697614A36BC3BDD42540CE5D7",1)</f>
        <v>=DISPIMG("ID_E3C0506697614A36BC3BDD42540CE5D7",1)</v>
      </c>
    </row>
    <row r="127" s="86" customFormat="1" ht="24" customHeight="1" outlineLevel="1" spans="1:15">
      <c r="A127" s="97"/>
      <c r="B127" s="98" t="s">
        <v>55</v>
      </c>
      <c r="C127" s="99"/>
      <c r="D127" s="100"/>
      <c r="E127" s="101"/>
      <c r="F127" s="101"/>
      <c r="G127" s="101"/>
      <c r="H127" s="101"/>
      <c r="I127" s="101"/>
      <c r="J127" s="101"/>
      <c r="K127" s="102"/>
      <c r="L127" s="96"/>
    </row>
    <row r="128" s="86" customFormat="1" ht="96" outlineLevel="2" spans="1:15">
      <c r="A128" s="103">
        <f>1+N(A127)</f>
        <v>1</v>
      </c>
      <c r="B128" s="98" t="s">
        <v>56</v>
      </c>
      <c r="C128" s="99" t="s">
        <v>57</v>
      </c>
      <c r="D128" s="100" t="s">
        <v>58</v>
      </c>
      <c r="E128" s="101">
        <v>43.66</v>
      </c>
      <c r="F128" s="101"/>
      <c r="G128" s="101"/>
      <c r="H128" s="27"/>
      <c r="I128" s="27">
        <f>(F128+G128+H128)*$I$3</f>
        <v>0</v>
      </c>
      <c r="J128" s="28">
        <f>ROUND(SUM(F128:I128),2)</f>
        <v>0</v>
      </c>
      <c r="K128" s="29">
        <f>ROUND(J128*E128,2)</f>
        <v>0</v>
      </c>
      <c r="L128" s="96"/>
      <c r="M128" s="86">
        <v>1</v>
      </c>
    </row>
    <row r="129" s="86" customFormat="1" ht="108" outlineLevel="2" spans="1:13">
      <c r="A129" s="103">
        <f>1+N(A128)</f>
        <v>2</v>
      </c>
      <c r="B129" s="98" t="s">
        <v>59</v>
      </c>
      <c r="C129" s="99" t="s">
        <v>60</v>
      </c>
      <c r="D129" s="100" t="s">
        <v>58</v>
      </c>
      <c r="E129" s="101">
        <v>42.04</v>
      </c>
      <c r="F129" s="101"/>
      <c r="G129" s="101"/>
      <c r="H129" s="101"/>
      <c r="I129" s="27">
        <f>(F129+G129+H129)*$I$3</f>
        <v>0</v>
      </c>
      <c r="J129" s="28">
        <f>ROUND(SUM(F129:I129),2)</f>
        <v>0</v>
      </c>
      <c r="K129" s="29">
        <f>ROUND(J129*E129,2)</f>
        <v>0</v>
      </c>
      <c r="L129" s="96"/>
      <c r="M129" s="86">
        <v>1</v>
      </c>
    </row>
    <row r="130" s="86" customFormat="1" ht="36" outlineLevel="2" spans="1:13">
      <c r="A130" s="103">
        <f>1+N(A129)</f>
        <v>3</v>
      </c>
      <c r="B130" s="98" t="s">
        <v>63</v>
      </c>
      <c r="C130" s="99" t="s">
        <v>64</v>
      </c>
      <c r="D130" s="100" t="s">
        <v>65</v>
      </c>
      <c r="E130" s="101">
        <v>31.67</v>
      </c>
      <c r="F130" s="101"/>
      <c r="G130" s="101"/>
      <c r="H130" s="101"/>
      <c r="I130" s="27">
        <f>(F130+G130+H130)*$I$3</f>
        <v>0</v>
      </c>
      <c r="J130" s="28">
        <f>ROUND(SUM(F130:I130),2)</f>
        <v>0</v>
      </c>
      <c r="K130" s="29">
        <f>ROUND(J130*E130,2)</f>
        <v>0</v>
      </c>
      <c r="L130" s="96"/>
      <c r="M130" s="86">
        <v>1</v>
      </c>
    </row>
    <row r="131" s="86" customFormat="1" ht="48" outlineLevel="2" spans="1:13">
      <c r="A131" s="103">
        <f>1+N(A130)</f>
        <v>4</v>
      </c>
      <c r="B131" s="98" t="s">
        <v>66</v>
      </c>
      <c r="C131" s="99" t="s">
        <v>67</v>
      </c>
      <c r="D131" s="100" t="s">
        <v>58</v>
      </c>
      <c r="E131" s="101">
        <v>85.7</v>
      </c>
      <c r="F131" s="101"/>
      <c r="G131" s="101"/>
      <c r="H131" s="101"/>
      <c r="I131" s="27">
        <f>(F131+G131+H131)*$I$3</f>
        <v>0</v>
      </c>
      <c r="J131" s="28">
        <f>ROUND(SUM(F131:I131),2)</f>
        <v>0</v>
      </c>
      <c r="K131" s="29">
        <f>ROUND(J131*E131,2)</f>
        <v>0</v>
      </c>
      <c r="L131" s="96"/>
      <c r="M131" s="86">
        <v>1</v>
      </c>
    </row>
    <row r="132" s="86" customFormat="1" ht="24" customHeight="1" outlineLevel="1" spans="1:13">
      <c r="A132" s="97"/>
      <c r="B132" s="98" t="s">
        <v>68</v>
      </c>
      <c r="C132" s="99"/>
      <c r="D132" s="100"/>
      <c r="E132" s="101"/>
      <c r="F132" s="101"/>
      <c r="G132" s="101"/>
      <c r="H132" s="101"/>
      <c r="I132" s="101"/>
      <c r="J132" s="101"/>
      <c r="K132" s="102"/>
      <c r="L132" s="96"/>
    </row>
    <row r="133" s="86" customFormat="1" ht="72" outlineLevel="2" spans="1:13">
      <c r="A133" s="103">
        <f t="shared" ref="A133:A140" si="24">1+N(A132)</f>
        <v>1</v>
      </c>
      <c r="B133" s="104" t="s">
        <v>69</v>
      </c>
      <c r="C133" s="99" t="s">
        <v>70</v>
      </c>
      <c r="D133" s="100" t="s">
        <v>58</v>
      </c>
      <c r="E133" s="101">
        <v>21.421</v>
      </c>
      <c r="F133" s="101"/>
      <c r="G133" s="101"/>
      <c r="H133" s="101"/>
      <c r="I133" s="27">
        <f t="shared" ref="I133:I140" si="25">(F133+G133+H133)*$I$3</f>
        <v>0</v>
      </c>
      <c r="J133" s="28">
        <f t="shared" ref="J133:J140" si="26">ROUND(SUM(F133:I133),2)</f>
        <v>0</v>
      </c>
      <c r="K133" s="29">
        <f t="shared" ref="K133:K140" si="27">ROUND(J133*E133,2)</f>
        <v>0</v>
      </c>
      <c r="L133" s="96"/>
      <c r="M133" s="86">
        <v>1</v>
      </c>
    </row>
    <row r="134" s="86" customFormat="1" ht="96" outlineLevel="2" spans="1:13">
      <c r="A134" s="103">
        <f t="shared" si="24"/>
        <v>2</v>
      </c>
      <c r="B134" s="105" t="s">
        <v>71</v>
      </c>
      <c r="C134" s="106" t="s">
        <v>72</v>
      </c>
      <c r="D134" s="100" t="s">
        <v>58</v>
      </c>
      <c r="E134" s="101">
        <v>128.31</v>
      </c>
      <c r="F134" s="101"/>
      <c r="G134" s="101"/>
      <c r="H134" s="101"/>
      <c r="I134" s="27">
        <f t="shared" si="25"/>
        <v>0</v>
      </c>
      <c r="J134" s="28">
        <f t="shared" si="26"/>
        <v>0</v>
      </c>
      <c r="K134" s="29">
        <f t="shared" si="27"/>
        <v>0</v>
      </c>
      <c r="L134" s="96"/>
      <c r="M134" s="86">
        <v>1</v>
      </c>
    </row>
    <row r="135" s="86" customFormat="1" ht="96" outlineLevel="2" spans="1:13">
      <c r="A135" s="103">
        <f t="shared" si="24"/>
        <v>3</v>
      </c>
      <c r="B135" s="105" t="s">
        <v>73</v>
      </c>
      <c r="C135" s="106" t="s">
        <v>74</v>
      </c>
      <c r="D135" s="100" t="s">
        <v>58</v>
      </c>
      <c r="E135" s="101">
        <v>13.976</v>
      </c>
      <c r="F135" s="101"/>
      <c r="G135" s="101"/>
      <c r="H135" s="101"/>
      <c r="I135" s="27">
        <f t="shared" si="25"/>
        <v>0</v>
      </c>
      <c r="J135" s="28">
        <f t="shared" si="26"/>
        <v>0</v>
      </c>
      <c r="K135" s="29">
        <f t="shared" si="27"/>
        <v>0</v>
      </c>
      <c r="L135" s="96"/>
      <c r="M135" s="86">
        <v>1</v>
      </c>
    </row>
    <row r="136" s="86" customFormat="1" ht="36" outlineLevel="2" spans="1:13">
      <c r="A136" s="103">
        <f t="shared" si="24"/>
        <v>4</v>
      </c>
      <c r="B136" s="105" t="s">
        <v>146</v>
      </c>
      <c r="C136" s="106" t="s">
        <v>147</v>
      </c>
      <c r="D136" s="100" t="s">
        <v>58</v>
      </c>
      <c r="E136" s="101">
        <f>3.67*2.94+17.97</f>
        <v>28.7598</v>
      </c>
      <c r="F136" s="101"/>
      <c r="G136" s="101"/>
      <c r="H136" s="101"/>
      <c r="I136" s="27">
        <f t="shared" si="25"/>
        <v>0</v>
      </c>
      <c r="J136" s="28">
        <f t="shared" si="26"/>
        <v>0</v>
      </c>
      <c r="K136" s="29">
        <f t="shared" si="27"/>
        <v>0</v>
      </c>
      <c r="L136" s="96"/>
      <c r="M136" s="86">
        <v>1</v>
      </c>
    </row>
    <row r="137" s="86" customFormat="1" ht="36" outlineLevel="2" spans="1:13">
      <c r="A137" s="103">
        <f t="shared" si="24"/>
        <v>5</v>
      </c>
      <c r="B137" s="105" t="s">
        <v>126</v>
      </c>
      <c r="C137" s="106" t="s">
        <v>148</v>
      </c>
      <c r="D137" s="100" t="s">
        <v>58</v>
      </c>
      <c r="E137" s="101">
        <f>3.67*2.94+17.97+0.062*(3.67+2.94+4.99+3.6)*2</f>
        <v>30.6446</v>
      </c>
      <c r="F137" s="101"/>
      <c r="G137" s="101"/>
      <c r="H137" s="101"/>
      <c r="I137" s="27">
        <f t="shared" si="25"/>
        <v>0</v>
      </c>
      <c r="J137" s="28">
        <f t="shared" si="26"/>
        <v>0</v>
      </c>
      <c r="K137" s="29">
        <f t="shared" si="27"/>
        <v>0</v>
      </c>
      <c r="L137" s="96"/>
      <c r="M137" s="86">
        <v>1</v>
      </c>
    </row>
    <row r="138" s="86" customFormat="1" ht="48" outlineLevel="2" spans="1:13">
      <c r="A138" s="103">
        <f t="shared" si="24"/>
        <v>6</v>
      </c>
      <c r="B138" s="105" t="s">
        <v>86</v>
      </c>
      <c r="C138" s="106" t="s">
        <v>87</v>
      </c>
      <c r="D138" s="105" t="s">
        <v>65</v>
      </c>
      <c r="E138" s="101">
        <v>41.599</v>
      </c>
      <c r="F138" s="101"/>
      <c r="G138" s="101"/>
      <c r="H138" s="101"/>
      <c r="I138" s="27">
        <f t="shared" si="25"/>
        <v>0</v>
      </c>
      <c r="J138" s="28">
        <f t="shared" si="26"/>
        <v>0</v>
      </c>
      <c r="K138" s="29">
        <f t="shared" si="27"/>
        <v>0</v>
      </c>
      <c r="L138" s="96"/>
      <c r="M138" s="86">
        <v>1</v>
      </c>
    </row>
    <row r="139" s="86" customFormat="1" ht="48" outlineLevel="2" spans="1:13">
      <c r="A139" s="103">
        <f t="shared" si="24"/>
        <v>7</v>
      </c>
      <c r="B139" s="105" t="s">
        <v>92</v>
      </c>
      <c r="C139" s="106" t="s">
        <v>93</v>
      </c>
      <c r="D139" s="105" t="s">
        <v>65</v>
      </c>
      <c r="E139" s="101">
        <v>31.555</v>
      </c>
      <c r="F139" s="101"/>
      <c r="G139" s="101"/>
      <c r="H139" s="101"/>
      <c r="I139" s="27">
        <f t="shared" si="25"/>
        <v>0</v>
      </c>
      <c r="J139" s="28">
        <f t="shared" si="26"/>
        <v>0</v>
      </c>
      <c r="K139" s="29">
        <f t="shared" si="27"/>
        <v>0</v>
      </c>
      <c r="L139" s="96"/>
      <c r="M139" s="86">
        <v>1</v>
      </c>
    </row>
    <row r="140" s="86" customFormat="1" ht="48" outlineLevel="2" spans="1:13">
      <c r="A140" s="103">
        <f t="shared" si="24"/>
        <v>8</v>
      </c>
      <c r="B140" s="105" t="s">
        <v>94</v>
      </c>
      <c r="C140" s="106" t="s">
        <v>95</v>
      </c>
      <c r="D140" s="105" t="s">
        <v>65</v>
      </c>
      <c r="E140" s="101">
        <v>41.599</v>
      </c>
      <c r="F140" s="101"/>
      <c r="G140" s="101"/>
      <c r="H140" s="101"/>
      <c r="I140" s="27">
        <f t="shared" si="25"/>
        <v>0</v>
      </c>
      <c r="J140" s="28">
        <f t="shared" si="26"/>
        <v>0</v>
      </c>
      <c r="K140" s="29">
        <f t="shared" si="27"/>
        <v>0</v>
      </c>
      <c r="L140" s="96"/>
      <c r="M140" s="86">
        <v>1</v>
      </c>
    </row>
    <row r="141" s="86" customFormat="1" ht="24" customHeight="1" outlineLevel="1" spans="1:13">
      <c r="A141" s="97"/>
      <c r="B141" s="98" t="s">
        <v>96</v>
      </c>
      <c r="C141" s="99"/>
      <c r="D141" s="100"/>
      <c r="E141" s="101"/>
      <c r="F141" s="101"/>
      <c r="G141" s="101"/>
      <c r="H141" s="101"/>
      <c r="I141" s="101"/>
      <c r="J141" s="101"/>
      <c r="K141" s="102"/>
      <c r="L141" s="96"/>
    </row>
    <row r="142" s="86" customFormat="1" ht="96" outlineLevel="2" spans="1:13">
      <c r="A142" s="103">
        <f t="shared" ref="A142:A147" si="28">1+N(A141)</f>
        <v>1</v>
      </c>
      <c r="B142" s="98" t="s">
        <v>97</v>
      </c>
      <c r="C142" s="108" t="s">
        <v>98</v>
      </c>
      <c r="D142" s="100" t="s">
        <v>58</v>
      </c>
      <c r="E142" s="101">
        <f>85.7-22.2</f>
        <v>63.5</v>
      </c>
      <c r="F142" s="101"/>
      <c r="G142" s="101"/>
      <c r="H142" s="101"/>
      <c r="I142" s="27">
        <f t="shared" ref="I142:I147" si="29">(F142+G142+H142)*$I$3</f>
        <v>0</v>
      </c>
      <c r="J142" s="28">
        <f t="shared" ref="J142:J147" si="30">ROUND(SUM(F142:I142),2)</f>
        <v>0</v>
      </c>
      <c r="K142" s="29">
        <f t="shared" ref="K142:K147" si="31">ROUND(J142*E142,2)</f>
        <v>0</v>
      </c>
      <c r="L142" s="96"/>
      <c r="M142" s="86">
        <v>1</v>
      </c>
    </row>
    <row r="143" s="86" customFormat="1" ht="108" outlineLevel="2" spans="1:13">
      <c r="A143" s="103">
        <f t="shared" si="28"/>
        <v>2</v>
      </c>
      <c r="B143" s="98" t="s">
        <v>118</v>
      </c>
      <c r="C143" s="108" t="s">
        <v>119</v>
      </c>
      <c r="D143" s="100" t="s">
        <v>58</v>
      </c>
      <c r="E143" s="101">
        <v>22.2</v>
      </c>
      <c r="F143" s="101"/>
      <c r="G143" s="101"/>
      <c r="H143" s="101"/>
      <c r="I143" s="27">
        <f t="shared" si="29"/>
        <v>0</v>
      </c>
      <c r="J143" s="28">
        <f t="shared" si="30"/>
        <v>0</v>
      </c>
      <c r="K143" s="29">
        <f t="shared" si="31"/>
        <v>0</v>
      </c>
      <c r="L143" s="96"/>
      <c r="M143" s="86">
        <v>1</v>
      </c>
    </row>
    <row r="144" s="86" customFormat="1" ht="48" outlineLevel="2" spans="1:13">
      <c r="A144" s="103">
        <f t="shared" si="28"/>
        <v>3</v>
      </c>
      <c r="B144" s="98" t="s">
        <v>99</v>
      </c>
      <c r="C144" s="108" t="s">
        <v>100</v>
      </c>
      <c r="D144" s="100" t="s">
        <v>65</v>
      </c>
      <c r="E144" s="101">
        <v>25.18</v>
      </c>
      <c r="F144" s="101"/>
      <c r="G144" s="101"/>
      <c r="H144" s="101"/>
      <c r="I144" s="27">
        <f t="shared" si="29"/>
        <v>0</v>
      </c>
      <c r="J144" s="28">
        <f t="shared" si="30"/>
        <v>0</v>
      </c>
      <c r="K144" s="29">
        <f t="shared" si="31"/>
        <v>0</v>
      </c>
      <c r="L144" s="96"/>
      <c r="M144" s="86">
        <v>1</v>
      </c>
    </row>
    <row r="145" s="86" customFormat="1" ht="48" outlineLevel="2" spans="1:15">
      <c r="A145" s="103">
        <f t="shared" si="28"/>
        <v>4</v>
      </c>
      <c r="B145" s="98" t="s">
        <v>101</v>
      </c>
      <c r="C145" s="108" t="s">
        <v>102</v>
      </c>
      <c r="D145" s="100" t="s">
        <v>65</v>
      </c>
      <c r="E145" s="101">
        <v>25.18</v>
      </c>
      <c r="F145" s="101"/>
      <c r="G145" s="101"/>
      <c r="H145" s="101"/>
      <c r="I145" s="27">
        <f t="shared" si="29"/>
        <v>0</v>
      </c>
      <c r="J145" s="28">
        <f t="shared" si="30"/>
        <v>0</v>
      </c>
      <c r="K145" s="29">
        <f t="shared" si="31"/>
        <v>0</v>
      </c>
      <c r="L145" s="96"/>
      <c r="M145" s="86">
        <v>1</v>
      </c>
    </row>
    <row r="146" s="86" customFormat="1" ht="72" customHeight="1" outlineLevel="2" spans="1:15">
      <c r="A146" s="103">
        <f t="shared" si="28"/>
        <v>5</v>
      </c>
      <c r="B146" s="98" t="s">
        <v>103</v>
      </c>
      <c r="C146" s="99" t="s">
        <v>104</v>
      </c>
      <c r="D146" s="100" t="s">
        <v>65</v>
      </c>
      <c r="E146" s="101">
        <f>1.2*2*3</f>
        <v>7.2</v>
      </c>
      <c r="F146" s="101"/>
      <c r="G146" s="101"/>
      <c r="H146" s="101"/>
      <c r="I146" s="27">
        <f t="shared" si="29"/>
        <v>0</v>
      </c>
      <c r="J146" s="28">
        <f t="shared" si="30"/>
        <v>0</v>
      </c>
      <c r="K146" s="29">
        <f t="shared" si="31"/>
        <v>0</v>
      </c>
      <c r="L146" s="96"/>
      <c r="M146" s="86">
        <v>1</v>
      </c>
    </row>
    <row r="147" s="86" customFormat="1" ht="72" customHeight="1" outlineLevel="2" spans="1:15">
      <c r="A147" s="103">
        <f t="shared" si="28"/>
        <v>6</v>
      </c>
      <c r="B147" s="98" t="s">
        <v>105</v>
      </c>
      <c r="C147" s="108" t="s">
        <v>106</v>
      </c>
      <c r="D147" s="100" t="s">
        <v>58</v>
      </c>
      <c r="E147" s="101">
        <f>85.7+25.18*0.3</f>
        <v>93.254</v>
      </c>
      <c r="F147" s="101"/>
      <c r="G147" s="101"/>
      <c r="H147" s="101"/>
      <c r="I147" s="27">
        <f t="shared" si="29"/>
        <v>0</v>
      </c>
      <c r="J147" s="28">
        <f t="shared" si="30"/>
        <v>0</v>
      </c>
      <c r="K147" s="29">
        <f t="shared" si="31"/>
        <v>0</v>
      </c>
      <c r="L147" s="96"/>
      <c r="M147" s="86">
        <v>1</v>
      </c>
    </row>
    <row r="148" s="86" customFormat="1" ht="24" customHeight="1" outlineLevel="1" spans="1:15">
      <c r="A148" s="97"/>
      <c r="B148" s="98" t="s">
        <v>107</v>
      </c>
      <c r="C148" s="99"/>
      <c r="D148" s="100"/>
      <c r="E148" s="101"/>
      <c r="F148" s="101"/>
      <c r="G148" s="101"/>
      <c r="H148" s="101"/>
      <c r="I148" s="101"/>
      <c r="J148" s="101"/>
      <c r="K148" s="102"/>
      <c r="L148" s="96"/>
    </row>
    <row r="149" s="86" customFormat="1" ht="84" outlineLevel="2" spans="1:15">
      <c r="A149" s="103">
        <f>1+N(A148)</f>
        <v>1</v>
      </c>
      <c r="B149" s="98" t="s">
        <v>149</v>
      </c>
      <c r="C149" s="99" t="s">
        <v>150</v>
      </c>
      <c r="D149" s="100" t="s">
        <v>151</v>
      </c>
      <c r="E149" s="101">
        <v>1</v>
      </c>
      <c r="F149" s="101"/>
      <c r="G149" s="101"/>
      <c r="H149" s="101"/>
      <c r="I149" s="27">
        <f>(F149+G149+H149)*$I$3</f>
        <v>0</v>
      </c>
      <c r="J149" s="28">
        <f>ROUND(SUM(F149:I149),2)</f>
        <v>0</v>
      </c>
      <c r="K149" s="29">
        <f>ROUND(J149*E149,2)</f>
        <v>0</v>
      </c>
      <c r="L149" s="96"/>
      <c r="M149" s="86">
        <v>1</v>
      </c>
    </row>
    <row r="150" s="86" customFormat="1" ht="36" outlineLevel="2" spans="1:15">
      <c r="A150" s="103">
        <f>1+N(A149)</f>
        <v>2</v>
      </c>
      <c r="B150" s="98" t="s">
        <v>121</v>
      </c>
      <c r="C150" s="99" t="s">
        <v>109</v>
      </c>
      <c r="D150" s="100" t="s">
        <v>58</v>
      </c>
      <c r="E150" s="101">
        <f>0.715*3</f>
        <v>2.145</v>
      </c>
      <c r="F150" s="101"/>
      <c r="G150" s="101"/>
      <c r="H150" s="101"/>
      <c r="I150" s="27">
        <f>(F150+G150+H150)*$I$3</f>
        <v>0</v>
      </c>
      <c r="J150" s="28">
        <f>ROUND(SUM(F150:I150),2)</f>
        <v>0</v>
      </c>
      <c r="K150" s="29">
        <f>ROUND(J150*E150,2)</f>
        <v>0</v>
      </c>
      <c r="L150" s="96"/>
      <c r="M150" s="86">
        <v>1</v>
      </c>
    </row>
    <row r="151" s="86" customFormat="1" ht="24" customHeight="1" outlineLevel="1" spans="1:15">
      <c r="A151" s="92" t="s">
        <v>152</v>
      </c>
      <c r="B151" s="93" t="s">
        <v>153</v>
      </c>
      <c r="C151" s="93"/>
      <c r="D151" s="94"/>
      <c r="E151" s="95"/>
      <c r="F151" s="95"/>
      <c r="G151" s="95"/>
      <c r="H151" s="95"/>
      <c r="I151" s="95"/>
      <c r="J151" s="95"/>
      <c r="K151" s="23"/>
      <c r="L151" s="96"/>
      <c r="O151" s="86" t="str">
        <f>_xlfn.DISPIMG("ID_08529AA2B4754D7788EF3058DD12C0B7",1)</f>
        <v>=DISPIMG("ID_08529AA2B4754D7788EF3058DD12C0B7",1)</v>
      </c>
    </row>
    <row r="152" s="86" customFormat="1" ht="24" customHeight="1" outlineLevel="1" spans="1:15">
      <c r="A152" s="97"/>
      <c r="B152" s="98" t="s">
        <v>55</v>
      </c>
      <c r="C152" s="99"/>
      <c r="D152" s="100"/>
      <c r="E152" s="101"/>
      <c r="F152" s="101"/>
      <c r="G152" s="101"/>
      <c r="H152" s="101"/>
      <c r="I152" s="101"/>
      <c r="J152" s="101"/>
      <c r="K152" s="102"/>
      <c r="L152" s="96"/>
    </row>
    <row r="153" s="86" customFormat="1" ht="96" outlineLevel="2" spans="1:15">
      <c r="A153" s="103">
        <f>1+N(A152)</f>
        <v>1</v>
      </c>
      <c r="B153" s="98" t="s">
        <v>56</v>
      </c>
      <c r="C153" s="99" t="s">
        <v>57</v>
      </c>
      <c r="D153" s="100" t="s">
        <v>58</v>
      </c>
      <c r="E153" s="101">
        <v>17.64</v>
      </c>
      <c r="F153" s="101"/>
      <c r="G153" s="101"/>
      <c r="H153" s="27"/>
      <c r="I153" s="27">
        <f>(F153+G153+H153)*$I$3</f>
        <v>0</v>
      </c>
      <c r="J153" s="28">
        <f>ROUND(SUM(F153:I153),2)</f>
        <v>0</v>
      </c>
      <c r="K153" s="29">
        <f>ROUND(J153*E153,2)</f>
        <v>0</v>
      </c>
      <c r="L153" s="96"/>
      <c r="M153" s="86">
        <v>1</v>
      </c>
    </row>
    <row r="154" s="86" customFormat="1" ht="48" outlineLevel="2" spans="1:15">
      <c r="A154" s="103">
        <f>1+N(A153)</f>
        <v>2</v>
      </c>
      <c r="B154" s="98" t="s">
        <v>66</v>
      </c>
      <c r="C154" s="99" t="s">
        <v>67</v>
      </c>
      <c r="D154" s="100" t="s">
        <v>58</v>
      </c>
      <c r="E154" s="101">
        <v>17.64</v>
      </c>
      <c r="F154" s="101"/>
      <c r="G154" s="101"/>
      <c r="H154" s="101"/>
      <c r="I154" s="27">
        <f>(F154+G154+H154)*$I$3</f>
        <v>0</v>
      </c>
      <c r="J154" s="28">
        <f>ROUND(SUM(F154:I154),2)</f>
        <v>0</v>
      </c>
      <c r="K154" s="29">
        <f>ROUND(J154*E154,2)</f>
        <v>0</v>
      </c>
      <c r="L154" s="96"/>
      <c r="M154" s="86">
        <v>1</v>
      </c>
    </row>
    <row r="155" s="86" customFormat="1" ht="24" customHeight="1" outlineLevel="1" spans="1:15">
      <c r="A155" s="97"/>
      <c r="B155" s="98" t="s">
        <v>68</v>
      </c>
      <c r="C155" s="99"/>
      <c r="D155" s="100"/>
      <c r="E155" s="101"/>
      <c r="F155" s="101"/>
      <c r="G155" s="101"/>
      <c r="H155" s="101"/>
      <c r="I155" s="101"/>
      <c r="J155" s="101"/>
      <c r="K155" s="102"/>
      <c r="L155" s="96"/>
    </row>
    <row r="156" s="86" customFormat="1" ht="72" outlineLevel="2" spans="1:15">
      <c r="A156" s="103">
        <f>1+N(A155)</f>
        <v>1</v>
      </c>
      <c r="B156" s="104" t="s">
        <v>69</v>
      </c>
      <c r="C156" s="99" t="s">
        <v>70</v>
      </c>
      <c r="D156" s="100" t="s">
        <v>58</v>
      </c>
      <c r="E156" s="101">
        <v>8.611</v>
      </c>
      <c r="F156" s="101"/>
      <c r="G156" s="101"/>
      <c r="H156" s="101"/>
      <c r="I156" s="27">
        <f>(F156+G156+H156)*$I$3</f>
        <v>0</v>
      </c>
      <c r="J156" s="28">
        <f>ROUND(SUM(F156:I156),2)</f>
        <v>0</v>
      </c>
      <c r="K156" s="29">
        <f>ROUND(J156*E156,2)</f>
        <v>0</v>
      </c>
      <c r="L156" s="96"/>
      <c r="M156" s="86">
        <v>1</v>
      </c>
    </row>
    <row r="157" s="86" customFormat="1" ht="96" outlineLevel="2" spans="1:15">
      <c r="A157" s="103">
        <f>1+N(A156)</f>
        <v>2</v>
      </c>
      <c r="B157" s="105" t="s">
        <v>71</v>
      </c>
      <c r="C157" s="106" t="s">
        <v>72</v>
      </c>
      <c r="D157" s="100" t="s">
        <v>58</v>
      </c>
      <c r="E157" s="101">
        <v>36.351</v>
      </c>
      <c r="F157" s="101"/>
      <c r="G157" s="101"/>
      <c r="H157" s="101"/>
      <c r="I157" s="27">
        <f>(F157+G157+H157)*$I$3</f>
        <v>0</v>
      </c>
      <c r="J157" s="28">
        <f>ROUND(SUM(F157:I157),2)</f>
        <v>0</v>
      </c>
      <c r="K157" s="29">
        <f>ROUND(J157*E157,2)</f>
        <v>0</v>
      </c>
      <c r="L157" s="96"/>
      <c r="M157" s="86">
        <v>1</v>
      </c>
    </row>
    <row r="158" s="86" customFormat="1" ht="48" outlineLevel="2" spans="1:15">
      <c r="A158" s="103">
        <f>1+N(A157)</f>
        <v>3</v>
      </c>
      <c r="B158" s="105" t="s">
        <v>86</v>
      </c>
      <c r="C158" s="106" t="s">
        <v>87</v>
      </c>
      <c r="D158" s="105" t="s">
        <v>65</v>
      </c>
      <c r="E158" s="101">
        <v>15.272</v>
      </c>
      <c r="F158" s="101"/>
      <c r="G158" s="101"/>
      <c r="H158" s="101"/>
      <c r="I158" s="27">
        <f>(F158+G158+H158)*$I$3</f>
        <v>0</v>
      </c>
      <c r="J158" s="28">
        <f>ROUND(SUM(F158:I158),2)</f>
        <v>0</v>
      </c>
      <c r="K158" s="29">
        <f>ROUND(J158*E158,2)</f>
        <v>0</v>
      </c>
      <c r="L158" s="96"/>
      <c r="M158" s="86">
        <v>1</v>
      </c>
    </row>
    <row r="159" s="86" customFormat="1" ht="48" outlineLevel="2" spans="1:15">
      <c r="A159" s="103">
        <f>1+N(A158)</f>
        <v>4</v>
      </c>
      <c r="B159" s="105" t="s">
        <v>92</v>
      </c>
      <c r="C159" s="106" t="s">
        <v>93</v>
      </c>
      <c r="D159" s="105" t="s">
        <v>65</v>
      </c>
      <c r="E159" s="101">
        <v>15.272</v>
      </c>
      <c r="F159" s="101"/>
      <c r="G159" s="101"/>
      <c r="H159" s="101"/>
      <c r="I159" s="27">
        <f>(F159+G159+H159)*$I$3</f>
        <v>0</v>
      </c>
      <c r="J159" s="28">
        <f>ROUND(SUM(F159:I159),2)</f>
        <v>0</v>
      </c>
      <c r="K159" s="29">
        <f>ROUND(J159*E159,2)</f>
        <v>0</v>
      </c>
      <c r="L159" s="96"/>
      <c r="M159" s="86">
        <v>1</v>
      </c>
    </row>
    <row r="160" s="86" customFormat="1" ht="48" outlineLevel="2" spans="1:15">
      <c r="A160" s="103">
        <f>1+N(A159)</f>
        <v>5</v>
      </c>
      <c r="B160" s="105" t="s">
        <v>94</v>
      </c>
      <c r="C160" s="106" t="s">
        <v>95</v>
      </c>
      <c r="D160" s="105" t="s">
        <v>65</v>
      </c>
      <c r="E160" s="101">
        <v>15.272</v>
      </c>
      <c r="F160" s="101"/>
      <c r="G160" s="101"/>
      <c r="H160" s="101"/>
      <c r="I160" s="27">
        <f>(F160+G160+H160)*$I$3</f>
        <v>0</v>
      </c>
      <c r="J160" s="28">
        <f>ROUND(SUM(F160:I160),2)</f>
        <v>0</v>
      </c>
      <c r="K160" s="29">
        <f>ROUND(J160*E160,2)</f>
        <v>0</v>
      </c>
      <c r="L160" s="96"/>
      <c r="M160" s="86">
        <v>1</v>
      </c>
    </row>
    <row r="161" s="86" customFormat="1" ht="24" customHeight="1" outlineLevel="1" spans="1:15">
      <c r="A161" s="97"/>
      <c r="B161" s="98" t="s">
        <v>96</v>
      </c>
      <c r="C161" s="99"/>
      <c r="D161" s="100"/>
      <c r="E161" s="101"/>
      <c r="F161" s="101"/>
      <c r="G161" s="101"/>
      <c r="H161" s="101"/>
      <c r="I161" s="101"/>
      <c r="J161" s="101"/>
      <c r="K161" s="102"/>
      <c r="L161" s="96"/>
    </row>
    <row r="162" s="86" customFormat="1" ht="96" outlineLevel="2" spans="1:15">
      <c r="A162" s="103">
        <f>1+N(A161)</f>
        <v>1</v>
      </c>
      <c r="B162" s="98" t="s">
        <v>97</v>
      </c>
      <c r="C162" s="108" t="s">
        <v>98</v>
      </c>
      <c r="D162" s="100" t="s">
        <v>58</v>
      </c>
      <c r="E162" s="101">
        <v>17.64</v>
      </c>
      <c r="F162" s="101"/>
      <c r="G162" s="101"/>
      <c r="H162" s="101"/>
      <c r="I162" s="27">
        <f>(F162+G162+H162)*$I$3</f>
        <v>0</v>
      </c>
      <c r="J162" s="28">
        <f>ROUND(SUM(F162:I162),2)</f>
        <v>0</v>
      </c>
      <c r="K162" s="29">
        <f>ROUND(J162*E162,2)</f>
        <v>0</v>
      </c>
      <c r="L162" s="96"/>
      <c r="M162" s="86">
        <v>1</v>
      </c>
    </row>
    <row r="163" s="86" customFormat="1" ht="72" customHeight="1" outlineLevel="2" spans="1:15">
      <c r="A163" s="103">
        <f>1+N(A162)</f>
        <v>2</v>
      </c>
      <c r="B163" s="98" t="s">
        <v>105</v>
      </c>
      <c r="C163" s="108" t="s">
        <v>106</v>
      </c>
      <c r="D163" s="100" t="s">
        <v>58</v>
      </c>
      <c r="E163" s="101">
        <v>17.64</v>
      </c>
      <c r="F163" s="101"/>
      <c r="G163" s="101"/>
      <c r="H163" s="101"/>
      <c r="I163" s="27">
        <f>(F163+G163+H163)*$I$3</f>
        <v>0</v>
      </c>
      <c r="J163" s="28">
        <f>ROUND(SUM(F163:I163),2)</f>
        <v>0</v>
      </c>
      <c r="K163" s="29">
        <f>ROUND(J163*E163,2)</f>
        <v>0</v>
      </c>
      <c r="L163" s="96"/>
      <c r="M163" s="86">
        <v>1</v>
      </c>
    </row>
    <row r="164" s="86" customFormat="1" ht="24" customHeight="1" outlineLevel="1" spans="1:15">
      <c r="A164" s="97"/>
      <c r="B164" s="98" t="s">
        <v>107</v>
      </c>
      <c r="C164" s="99"/>
      <c r="D164" s="100"/>
      <c r="E164" s="101"/>
      <c r="F164" s="101"/>
      <c r="G164" s="101"/>
      <c r="H164" s="101"/>
      <c r="I164" s="101"/>
      <c r="J164" s="101"/>
      <c r="K164" s="102"/>
      <c r="L164" s="96"/>
    </row>
    <row r="165" s="86" customFormat="1" ht="24" customHeight="1" outlineLevel="1" spans="1:15">
      <c r="A165" s="92" t="s">
        <v>154</v>
      </c>
      <c r="B165" s="93" t="s">
        <v>155</v>
      </c>
      <c r="C165" s="93"/>
      <c r="D165" s="94"/>
      <c r="E165" s="95"/>
      <c r="F165" s="95"/>
      <c r="G165" s="95"/>
      <c r="H165" s="95"/>
      <c r="I165" s="95"/>
      <c r="J165" s="95"/>
      <c r="K165" s="23"/>
      <c r="L165" s="96"/>
      <c r="O165" s="86" t="str">
        <f>_xlfn.DISPIMG("ID_08529AA2B4754D7788EF3058DD12C0B7",1)</f>
        <v>=DISPIMG("ID_08529AA2B4754D7788EF3058DD12C0B7",1)</v>
      </c>
    </row>
    <row r="166" s="86" customFormat="1" ht="24" customHeight="1" outlineLevel="1" spans="1:15">
      <c r="A166" s="97"/>
      <c r="B166" s="105" t="s">
        <v>156</v>
      </c>
      <c r="C166" s="99"/>
      <c r="D166" s="100"/>
      <c r="E166" s="101"/>
      <c r="F166" s="101"/>
      <c r="G166" s="101"/>
      <c r="H166" s="101"/>
      <c r="I166" s="101"/>
      <c r="J166" s="101"/>
      <c r="K166" s="102"/>
      <c r="L166" s="96"/>
    </row>
    <row r="167" s="86" customFormat="1" ht="72" outlineLevel="2" spans="1:15">
      <c r="A167" s="103">
        <f>1+N(A166)</f>
        <v>1</v>
      </c>
      <c r="B167" s="105" t="s">
        <v>157</v>
      </c>
      <c r="C167" s="106" t="s">
        <v>158</v>
      </c>
      <c r="D167" s="100" t="s">
        <v>58</v>
      </c>
      <c r="E167" s="101">
        <f>60.466*4.07</f>
        <v>246.09662</v>
      </c>
      <c r="F167" s="101"/>
      <c r="G167" s="101"/>
      <c r="H167" s="101"/>
      <c r="I167" s="27">
        <f>(F167+G167+H167)*$I$3</f>
        <v>0</v>
      </c>
      <c r="J167" s="28">
        <f>ROUND(SUM(F167:I167),2)</f>
        <v>0</v>
      </c>
      <c r="K167" s="29">
        <f>ROUND(J167*E167,2)</f>
        <v>0</v>
      </c>
      <c r="L167" s="96"/>
      <c r="M167" s="86">
        <v>1</v>
      </c>
    </row>
    <row r="168" s="86" customFormat="1" ht="24" customHeight="1" spans="1:15">
      <c r="A168" s="92" t="s">
        <v>159</v>
      </c>
      <c r="B168" s="93" t="s">
        <v>26</v>
      </c>
      <c r="C168" s="93"/>
      <c r="D168" s="94"/>
      <c r="E168" s="95"/>
      <c r="F168" s="95"/>
      <c r="G168" s="95"/>
      <c r="H168" s="95"/>
      <c r="I168" s="95"/>
      <c r="J168" s="95"/>
      <c r="K168" s="23">
        <f>SUM(K169:K335)</f>
        <v>0</v>
      </c>
      <c r="L168" s="96"/>
      <c r="O168" s="112"/>
    </row>
    <row r="169" s="86" customFormat="1" ht="24" customHeight="1" outlineLevel="1" spans="1:15">
      <c r="A169" s="92" t="s">
        <v>53</v>
      </c>
      <c r="B169" s="93" t="s">
        <v>160</v>
      </c>
      <c r="C169" s="93"/>
      <c r="D169" s="94"/>
      <c r="E169" s="95"/>
      <c r="F169" s="95"/>
      <c r="G169" s="95"/>
      <c r="H169" s="95"/>
      <c r="I169" s="95"/>
      <c r="J169" s="95"/>
      <c r="K169" s="23"/>
      <c r="L169" s="96"/>
      <c r="O169" s="112" t="str">
        <f>_xlfn.DISPIMG("ID_52E6D4475B5A423CA29DFA7417D3B958",1)</f>
        <v>=DISPIMG("ID_52E6D4475B5A423CA29DFA7417D3B958",1)</v>
      </c>
    </row>
    <row r="170" s="86" customFormat="1" ht="24" customHeight="1" outlineLevel="1" spans="1:15">
      <c r="A170" s="97"/>
      <c r="B170" s="98" t="s">
        <v>55</v>
      </c>
      <c r="C170" s="99"/>
      <c r="D170" s="100"/>
      <c r="E170" s="101"/>
      <c r="F170" s="101"/>
      <c r="G170" s="101"/>
      <c r="H170" s="101"/>
      <c r="I170" s="101"/>
      <c r="J170" s="101"/>
      <c r="K170" s="102"/>
      <c r="L170" s="96"/>
    </row>
    <row r="171" s="86" customFormat="1" ht="96" outlineLevel="2" spans="1:15">
      <c r="A171" s="103">
        <f>1+N(A170)</f>
        <v>1</v>
      </c>
      <c r="B171" s="98" t="s">
        <v>161</v>
      </c>
      <c r="C171" s="99" t="s">
        <v>162</v>
      </c>
      <c r="D171" s="100" t="s">
        <v>58</v>
      </c>
      <c r="E171" s="101">
        <v>61.55</v>
      </c>
      <c r="F171" s="101"/>
      <c r="G171" s="101"/>
      <c r="H171" s="27"/>
      <c r="I171" s="27">
        <f>(F171+G171+H171)*$I$3</f>
        <v>0</v>
      </c>
      <c r="J171" s="28">
        <f>ROUND(SUM(F171:I171),2)</f>
        <v>0</v>
      </c>
      <c r="K171" s="29">
        <f>ROUND(J171*E171,2)</f>
        <v>0</v>
      </c>
      <c r="L171" s="96"/>
      <c r="M171" s="86">
        <v>1</v>
      </c>
    </row>
    <row r="172" s="86" customFormat="1" ht="60" outlineLevel="2" spans="1:15">
      <c r="A172" s="103">
        <f>1+N(A171)</f>
        <v>2</v>
      </c>
      <c r="B172" s="98" t="s">
        <v>163</v>
      </c>
      <c r="C172" s="99" t="s">
        <v>164</v>
      </c>
      <c r="D172" s="100" t="s">
        <v>58</v>
      </c>
      <c r="E172" s="101">
        <v>2.78</v>
      </c>
      <c r="F172" s="101"/>
      <c r="G172" s="101"/>
      <c r="H172" s="101"/>
      <c r="I172" s="27">
        <f>(F172+G172+H172)*$I$3</f>
        <v>0</v>
      </c>
      <c r="J172" s="28">
        <f>ROUND(SUM(F172:I172),2)</f>
        <v>0</v>
      </c>
      <c r="K172" s="29">
        <f>ROUND(J172*E172,2)</f>
        <v>0</v>
      </c>
      <c r="L172" s="96"/>
      <c r="M172" s="86">
        <v>1</v>
      </c>
    </row>
    <row r="173" s="86" customFormat="1" ht="36" outlineLevel="2" spans="1:15">
      <c r="A173" s="103">
        <f>1+N(A172)</f>
        <v>3</v>
      </c>
      <c r="B173" s="98" t="s">
        <v>63</v>
      </c>
      <c r="C173" s="99" t="s">
        <v>64</v>
      </c>
      <c r="D173" s="100" t="s">
        <v>65</v>
      </c>
      <c r="E173" s="101">
        <v>1.65</v>
      </c>
      <c r="F173" s="101"/>
      <c r="G173" s="101"/>
      <c r="H173" s="101"/>
      <c r="I173" s="27">
        <f>(F173+G173+H173)*$I$3</f>
        <v>0</v>
      </c>
      <c r="J173" s="28">
        <f>ROUND(SUM(F173:I173),2)</f>
        <v>0</v>
      </c>
      <c r="K173" s="29">
        <f>ROUND(J173*E173,2)</f>
        <v>0</v>
      </c>
      <c r="L173" s="96"/>
      <c r="M173" s="86">
        <v>1</v>
      </c>
    </row>
    <row r="174" s="86" customFormat="1" ht="24" customHeight="1" outlineLevel="1" spans="1:15">
      <c r="A174" s="97"/>
      <c r="B174" s="98" t="s">
        <v>68</v>
      </c>
      <c r="C174" s="99"/>
      <c r="D174" s="100"/>
      <c r="E174" s="101"/>
      <c r="F174" s="101"/>
      <c r="G174" s="101"/>
      <c r="H174" s="101"/>
      <c r="I174" s="101"/>
      <c r="J174" s="101"/>
      <c r="K174" s="102"/>
      <c r="L174" s="96"/>
    </row>
    <row r="175" s="86" customFormat="1" ht="72" outlineLevel="2" spans="1:15">
      <c r="A175" s="103">
        <f t="shared" ref="A175:A184" si="32">1+N(A174)</f>
        <v>1</v>
      </c>
      <c r="B175" s="104" t="s">
        <v>69</v>
      </c>
      <c r="C175" s="99" t="s">
        <v>70</v>
      </c>
      <c r="D175" s="100" t="s">
        <v>58</v>
      </c>
      <c r="E175" s="101">
        <v>1.71</v>
      </c>
      <c r="F175" s="101"/>
      <c r="G175" s="101"/>
      <c r="H175" s="101"/>
      <c r="I175" s="27">
        <f t="shared" ref="I175:I184" si="33">(F175+G175+H175)*$I$3</f>
        <v>0</v>
      </c>
      <c r="J175" s="28">
        <f t="shared" ref="J175:J184" si="34">ROUND(SUM(F175:I175),2)</f>
        <v>0</v>
      </c>
      <c r="K175" s="29">
        <f t="shared" ref="K175:K184" si="35">ROUND(J175*E175,2)</f>
        <v>0</v>
      </c>
      <c r="L175" s="96"/>
      <c r="M175" s="86">
        <v>1</v>
      </c>
    </row>
    <row r="176" s="86" customFormat="1" ht="96" outlineLevel="2" spans="1:15">
      <c r="A176" s="103">
        <f t="shared" si="32"/>
        <v>2</v>
      </c>
      <c r="B176" s="105" t="s">
        <v>71</v>
      </c>
      <c r="C176" s="106" t="s">
        <v>72</v>
      </c>
      <c r="D176" s="100" t="s">
        <v>58</v>
      </c>
      <c r="E176" s="101">
        <v>8.362</v>
      </c>
      <c r="F176" s="101"/>
      <c r="G176" s="101"/>
      <c r="H176" s="101"/>
      <c r="I176" s="27">
        <f t="shared" si="33"/>
        <v>0</v>
      </c>
      <c r="J176" s="28">
        <f t="shared" si="34"/>
        <v>0</v>
      </c>
      <c r="K176" s="29">
        <f t="shared" si="35"/>
        <v>0</v>
      </c>
      <c r="L176" s="96"/>
      <c r="M176" s="86">
        <v>1</v>
      </c>
    </row>
    <row r="177" s="86" customFormat="1" ht="60" outlineLevel="2" spans="1:13">
      <c r="A177" s="103">
        <f t="shared" si="32"/>
        <v>3</v>
      </c>
      <c r="B177" s="105" t="s">
        <v>165</v>
      </c>
      <c r="C177" s="106" t="s">
        <v>166</v>
      </c>
      <c r="D177" s="105" t="s">
        <v>58</v>
      </c>
      <c r="E177" s="101">
        <v>8.344</v>
      </c>
      <c r="F177" s="101"/>
      <c r="G177" s="101"/>
      <c r="H177" s="101"/>
      <c r="I177" s="27">
        <f t="shared" si="33"/>
        <v>0</v>
      </c>
      <c r="J177" s="28">
        <f t="shared" si="34"/>
        <v>0</v>
      </c>
      <c r="K177" s="29">
        <f t="shared" si="35"/>
        <v>0</v>
      </c>
      <c r="L177" s="96"/>
      <c r="M177" s="86">
        <v>1</v>
      </c>
    </row>
    <row r="178" s="86" customFormat="1" ht="72" outlineLevel="2" spans="1:13">
      <c r="A178" s="103">
        <f t="shared" si="32"/>
        <v>4</v>
      </c>
      <c r="B178" s="105" t="s">
        <v>75</v>
      </c>
      <c r="C178" s="106" t="s">
        <v>76</v>
      </c>
      <c r="D178" s="105" t="s">
        <v>58</v>
      </c>
      <c r="E178" s="101">
        <v>22.692</v>
      </c>
      <c r="F178" s="101"/>
      <c r="G178" s="101"/>
      <c r="H178" s="101"/>
      <c r="I178" s="27">
        <f t="shared" si="33"/>
        <v>0</v>
      </c>
      <c r="J178" s="28">
        <f t="shared" si="34"/>
        <v>0</v>
      </c>
      <c r="K178" s="29">
        <f t="shared" si="35"/>
        <v>0</v>
      </c>
      <c r="L178" s="96"/>
      <c r="M178" s="86">
        <v>1</v>
      </c>
    </row>
    <row r="179" s="86" customFormat="1" ht="72" outlineLevel="2" spans="1:13">
      <c r="A179" s="103">
        <f t="shared" si="32"/>
        <v>5</v>
      </c>
      <c r="B179" s="105" t="s">
        <v>167</v>
      </c>
      <c r="C179" s="106" t="s">
        <v>168</v>
      </c>
      <c r="D179" s="105" t="s">
        <v>58</v>
      </c>
      <c r="E179" s="101">
        <v>78.531</v>
      </c>
      <c r="F179" s="101"/>
      <c r="G179" s="101"/>
      <c r="H179" s="101"/>
      <c r="I179" s="27">
        <f t="shared" si="33"/>
        <v>0</v>
      </c>
      <c r="J179" s="28">
        <f t="shared" si="34"/>
        <v>0</v>
      </c>
      <c r="K179" s="29">
        <f t="shared" si="35"/>
        <v>0</v>
      </c>
      <c r="L179" s="96"/>
      <c r="M179" s="86">
        <v>1</v>
      </c>
    </row>
    <row r="180" s="86" customFormat="1" ht="60" outlineLevel="2" spans="1:13">
      <c r="A180" s="103">
        <f t="shared" si="32"/>
        <v>6</v>
      </c>
      <c r="B180" s="105" t="s">
        <v>169</v>
      </c>
      <c r="C180" s="106" t="s">
        <v>170</v>
      </c>
      <c r="D180" s="105" t="s">
        <v>58</v>
      </c>
      <c r="E180" s="101">
        <v>3.515</v>
      </c>
      <c r="F180" s="101"/>
      <c r="G180" s="101"/>
      <c r="H180" s="101"/>
      <c r="I180" s="27">
        <f t="shared" si="33"/>
        <v>0</v>
      </c>
      <c r="J180" s="28">
        <f t="shared" si="34"/>
        <v>0</v>
      </c>
      <c r="K180" s="29">
        <f t="shared" si="35"/>
        <v>0</v>
      </c>
      <c r="L180" s="96"/>
      <c r="M180" s="86">
        <v>1</v>
      </c>
    </row>
    <row r="181" s="86" customFormat="1" ht="36" outlineLevel="2" spans="1:13">
      <c r="A181" s="103">
        <f t="shared" si="32"/>
        <v>7</v>
      </c>
      <c r="B181" s="105" t="s">
        <v>126</v>
      </c>
      <c r="C181" s="106" t="s">
        <v>148</v>
      </c>
      <c r="D181" s="105" t="s">
        <v>58</v>
      </c>
      <c r="E181" s="101">
        <v>1.29</v>
      </c>
      <c r="F181" s="101"/>
      <c r="G181" s="101"/>
      <c r="H181" s="101"/>
      <c r="I181" s="27">
        <f t="shared" si="33"/>
        <v>0</v>
      </c>
      <c r="J181" s="28">
        <f t="shared" si="34"/>
        <v>0</v>
      </c>
      <c r="K181" s="29">
        <f t="shared" si="35"/>
        <v>0</v>
      </c>
      <c r="L181" s="96"/>
      <c r="M181" s="86">
        <v>1</v>
      </c>
    </row>
    <row r="182" s="86" customFormat="1" ht="48" outlineLevel="2" spans="1:13">
      <c r="A182" s="103">
        <f t="shared" si="32"/>
        <v>8</v>
      </c>
      <c r="B182" s="105" t="s">
        <v>86</v>
      </c>
      <c r="C182" s="106" t="s">
        <v>87</v>
      </c>
      <c r="D182" s="105" t="s">
        <v>65</v>
      </c>
      <c r="E182" s="101">
        <v>36.44</v>
      </c>
      <c r="F182" s="101"/>
      <c r="G182" s="101"/>
      <c r="H182" s="101"/>
      <c r="I182" s="27">
        <f t="shared" si="33"/>
        <v>0</v>
      </c>
      <c r="J182" s="28">
        <f t="shared" si="34"/>
        <v>0</v>
      </c>
      <c r="K182" s="29">
        <f t="shared" si="35"/>
        <v>0</v>
      </c>
      <c r="L182" s="96"/>
      <c r="M182" s="86">
        <v>1</v>
      </c>
    </row>
    <row r="183" s="86" customFormat="1" ht="48" outlineLevel="2" spans="1:13">
      <c r="A183" s="103">
        <f t="shared" si="32"/>
        <v>9</v>
      </c>
      <c r="B183" s="105" t="s">
        <v>92</v>
      </c>
      <c r="C183" s="106" t="s">
        <v>93</v>
      </c>
      <c r="D183" s="105" t="s">
        <v>65</v>
      </c>
      <c r="E183" s="101">
        <v>36.44</v>
      </c>
      <c r="F183" s="101"/>
      <c r="G183" s="101"/>
      <c r="H183" s="101"/>
      <c r="I183" s="27">
        <f t="shared" si="33"/>
        <v>0</v>
      </c>
      <c r="J183" s="28">
        <f t="shared" si="34"/>
        <v>0</v>
      </c>
      <c r="K183" s="29">
        <f t="shared" si="35"/>
        <v>0</v>
      </c>
      <c r="L183" s="96"/>
      <c r="M183" s="86">
        <v>1</v>
      </c>
    </row>
    <row r="184" s="86" customFormat="1" ht="48" outlineLevel="2" spans="1:13">
      <c r="A184" s="103">
        <f t="shared" si="32"/>
        <v>10</v>
      </c>
      <c r="B184" s="105" t="s">
        <v>94</v>
      </c>
      <c r="C184" s="106" t="s">
        <v>95</v>
      </c>
      <c r="D184" s="105" t="s">
        <v>65</v>
      </c>
      <c r="E184" s="101">
        <v>42.44</v>
      </c>
      <c r="F184" s="101"/>
      <c r="G184" s="101"/>
      <c r="H184" s="101"/>
      <c r="I184" s="27">
        <f t="shared" si="33"/>
        <v>0</v>
      </c>
      <c r="J184" s="28">
        <f t="shared" si="34"/>
        <v>0</v>
      </c>
      <c r="K184" s="29">
        <f t="shared" si="35"/>
        <v>0</v>
      </c>
      <c r="L184" s="96"/>
      <c r="M184" s="86">
        <v>1</v>
      </c>
    </row>
    <row r="185" s="86" customFormat="1" ht="24" customHeight="1" outlineLevel="1" spans="1:13">
      <c r="A185" s="97"/>
      <c r="B185" s="98" t="s">
        <v>96</v>
      </c>
      <c r="C185" s="99"/>
      <c r="D185" s="100"/>
      <c r="E185" s="101"/>
      <c r="F185" s="101"/>
      <c r="G185" s="101"/>
      <c r="H185" s="101"/>
      <c r="I185" s="101"/>
      <c r="J185" s="101"/>
      <c r="K185" s="102"/>
      <c r="L185" s="96"/>
    </row>
    <row r="186" s="86" customFormat="1" ht="96" outlineLevel="2" spans="1:13">
      <c r="A186" s="103">
        <f>1+N(A185)</f>
        <v>1</v>
      </c>
      <c r="B186" s="98" t="s">
        <v>97</v>
      </c>
      <c r="C186" s="108" t="s">
        <v>98</v>
      </c>
      <c r="D186" s="100" t="s">
        <v>58</v>
      </c>
      <c r="E186" s="101">
        <v>64.33</v>
      </c>
      <c r="F186" s="101"/>
      <c r="G186" s="101"/>
      <c r="H186" s="101"/>
      <c r="I186" s="27">
        <f>(F186+G186+H186)*$I$3</f>
        <v>0</v>
      </c>
      <c r="J186" s="28">
        <f>ROUND(SUM(F186:I186),2)</f>
        <v>0</v>
      </c>
      <c r="K186" s="29">
        <f>ROUND(J186*E186,2)</f>
        <v>0</v>
      </c>
      <c r="L186" s="96"/>
      <c r="M186" s="86">
        <v>1</v>
      </c>
    </row>
    <row r="187" s="86" customFormat="1" ht="48" outlineLevel="2" spans="1:13">
      <c r="A187" s="103">
        <f>1+N(A186)</f>
        <v>2</v>
      </c>
      <c r="B187" s="98" t="s">
        <v>99</v>
      </c>
      <c r="C187" s="108" t="s">
        <v>100</v>
      </c>
      <c r="D187" s="100" t="s">
        <v>65</v>
      </c>
      <c r="E187" s="101">
        <v>18.36</v>
      </c>
      <c r="F187" s="101"/>
      <c r="G187" s="101"/>
      <c r="H187" s="101"/>
      <c r="I187" s="27">
        <f>(F187+G187+H187)*$I$3</f>
        <v>0</v>
      </c>
      <c r="J187" s="28">
        <f>ROUND(SUM(F187:I187),2)</f>
        <v>0</v>
      </c>
      <c r="K187" s="29">
        <f>ROUND(J187*E187,2)</f>
        <v>0</v>
      </c>
      <c r="L187" s="96"/>
      <c r="M187" s="86">
        <v>1</v>
      </c>
    </row>
    <row r="188" s="86" customFormat="1" ht="48" outlineLevel="2" spans="1:13">
      <c r="A188" s="103">
        <f>1+N(A187)</f>
        <v>3</v>
      </c>
      <c r="B188" s="98" t="s">
        <v>101</v>
      </c>
      <c r="C188" s="108" t="s">
        <v>102</v>
      </c>
      <c r="D188" s="100" t="s">
        <v>65</v>
      </c>
      <c r="E188" s="101">
        <v>18.36</v>
      </c>
      <c r="F188" s="101"/>
      <c r="G188" s="101"/>
      <c r="H188" s="101"/>
      <c r="I188" s="27">
        <f>(F188+G188+H188)*$I$3</f>
        <v>0</v>
      </c>
      <c r="J188" s="28">
        <f>ROUND(SUM(F188:I188),2)</f>
        <v>0</v>
      </c>
      <c r="K188" s="29">
        <f>ROUND(J188*E188,2)</f>
        <v>0</v>
      </c>
      <c r="L188" s="96"/>
      <c r="M188" s="86">
        <v>1</v>
      </c>
    </row>
    <row r="189" s="86" customFormat="1" ht="72" customHeight="1" outlineLevel="2" spans="1:13">
      <c r="A189" s="103">
        <f>1+N(A188)</f>
        <v>4</v>
      </c>
      <c r="B189" s="98" t="s">
        <v>105</v>
      </c>
      <c r="C189" s="108" t="s">
        <v>106</v>
      </c>
      <c r="D189" s="100" t="s">
        <v>58</v>
      </c>
      <c r="E189" s="101">
        <f>64.33+18.36*0.3</f>
        <v>69.838</v>
      </c>
      <c r="F189" s="101"/>
      <c r="G189" s="101"/>
      <c r="H189" s="101"/>
      <c r="I189" s="27">
        <f>(F189+G189+H189)*$I$3</f>
        <v>0</v>
      </c>
      <c r="J189" s="28">
        <f>ROUND(SUM(F189:I189),2)</f>
        <v>0</v>
      </c>
      <c r="K189" s="29">
        <f>ROUND(J189*E189,2)</f>
        <v>0</v>
      </c>
      <c r="L189" s="96"/>
      <c r="M189" s="86">
        <v>1</v>
      </c>
    </row>
    <row r="190" s="86" customFormat="1" ht="24" customHeight="1" outlineLevel="1" spans="1:13">
      <c r="A190" s="97"/>
      <c r="B190" s="98" t="s">
        <v>107</v>
      </c>
      <c r="C190" s="99"/>
      <c r="D190" s="100"/>
      <c r="E190" s="101"/>
      <c r="F190" s="101"/>
      <c r="G190" s="101"/>
      <c r="H190" s="101"/>
      <c r="I190" s="101"/>
      <c r="J190" s="101"/>
      <c r="K190" s="102"/>
      <c r="L190" s="96"/>
    </row>
    <row r="191" s="86" customFormat="1" ht="72" outlineLevel="2" spans="1:13">
      <c r="A191" s="103">
        <f>1+N(A190)</f>
        <v>1</v>
      </c>
      <c r="B191" s="98" t="s">
        <v>171</v>
      </c>
      <c r="C191" s="106" t="s">
        <v>111</v>
      </c>
      <c r="D191" s="100" t="s">
        <v>58</v>
      </c>
      <c r="E191" s="101">
        <f>1.8*3</f>
        <v>5.4</v>
      </c>
      <c r="F191" s="101"/>
      <c r="G191" s="101"/>
      <c r="H191" s="101"/>
      <c r="I191" s="27">
        <f>(F191+G191+H191)*$I$3</f>
        <v>0</v>
      </c>
      <c r="J191" s="28">
        <f>ROUND(SUM(F191:I191),2)</f>
        <v>0</v>
      </c>
      <c r="K191" s="29">
        <f>ROUND(J191*E191,2)</f>
        <v>0</v>
      </c>
      <c r="L191" s="96"/>
      <c r="M191" s="86">
        <v>1</v>
      </c>
    </row>
    <row r="192" s="86" customFormat="1" ht="36" outlineLevel="2" spans="1:13">
      <c r="A192" s="103">
        <f>1+N(A191)</f>
        <v>2</v>
      </c>
      <c r="B192" s="98" t="s">
        <v>121</v>
      </c>
      <c r="C192" s="99" t="s">
        <v>109</v>
      </c>
      <c r="D192" s="100" t="s">
        <v>58</v>
      </c>
      <c r="E192" s="101">
        <f>0.725*3</f>
        <v>2.175</v>
      </c>
      <c r="F192" s="101"/>
      <c r="G192" s="101"/>
      <c r="H192" s="101"/>
      <c r="I192" s="27">
        <f>(F192+G192+H192)*$I$3</f>
        <v>0</v>
      </c>
      <c r="J192" s="28">
        <f>ROUND(SUM(F192:I192),2)</f>
        <v>0</v>
      </c>
      <c r="K192" s="29">
        <f>ROUND(J192*E192,2)</f>
        <v>0</v>
      </c>
      <c r="L192" s="96"/>
      <c r="M192" s="86">
        <v>1</v>
      </c>
    </row>
    <row r="193" s="86" customFormat="1" ht="72" outlineLevel="2" spans="1:15">
      <c r="A193" s="103">
        <f>1+N(A192)</f>
        <v>3</v>
      </c>
      <c r="B193" s="98" t="s">
        <v>172</v>
      </c>
      <c r="C193" s="99" t="s">
        <v>173</v>
      </c>
      <c r="D193" s="100" t="s">
        <v>151</v>
      </c>
      <c r="E193" s="101">
        <v>1</v>
      </c>
      <c r="F193" s="101"/>
      <c r="G193" s="101"/>
      <c r="H193" s="101"/>
      <c r="I193" s="27">
        <f>(F193+G193+H193)*$I$3</f>
        <v>0</v>
      </c>
      <c r="J193" s="28">
        <f>ROUND(SUM(F193:I193),2)</f>
        <v>0</v>
      </c>
      <c r="K193" s="29">
        <f>ROUND(J193*E193,2)</f>
        <v>0</v>
      </c>
      <c r="L193" s="96"/>
      <c r="M193" s="86">
        <v>1</v>
      </c>
      <c r="O193" s="110"/>
    </row>
    <row r="194" s="86" customFormat="1" ht="24" outlineLevel="2" spans="1:15">
      <c r="A194" s="103">
        <f>1+N(A193)</f>
        <v>4</v>
      </c>
      <c r="B194" s="98" t="s">
        <v>174</v>
      </c>
      <c r="C194" s="99" t="s">
        <v>175</v>
      </c>
      <c r="D194" s="100" t="s">
        <v>65</v>
      </c>
      <c r="E194" s="101">
        <v>4.38</v>
      </c>
      <c r="F194" s="101"/>
      <c r="G194" s="101"/>
      <c r="H194" s="101"/>
      <c r="I194" s="27">
        <f>(F194+G194+H194)*$I$3</f>
        <v>0</v>
      </c>
      <c r="J194" s="28">
        <f>ROUND(SUM(F194:I194),2)</f>
        <v>0</v>
      </c>
      <c r="K194" s="29">
        <f>ROUND(J194*E194,2)</f>
        <v>0</v>
      </c>
      <c r="L194" s="96"/>
      <c r="M194" s="86">
        <v>1</v>
      </c>
      <c r="O194" s="110"/>
    </row>
    <row r="195" s="86" customFormat="1" ht="24" customHeight="1" outlineLevel="1" spans="1:15">
      <c r="A195" s="92" t="s">
        <v>114</v>
      </c>
      <c r="B195" s="93" t="s">
        <v>176</v>
      </c>
      <c r="C195" s="93"/>
      <c r="D195" s="94"/>
      <c r="E195" s="95"/>
      <c r="F195" s="95"/>
      <c r="G195" s="95"/>
      <c r="H195" s="95"/>
      <c r="I195" s="95"/>
      <c r="J195" s="95"/>
      <c r="K195" s="23"/>
      <c r="L195" s="96"/>
      <c r="O195" s="112" t="str">
        <f>_xlfn.DISPIMG("ID_079CB18207A847FE99C003FD3B44EEAD",1)</f>
        <v>=DISPIMG("ID_079CB18207A847FE99C003FD3B44EEAD",1)</v>
      </c>
    </row>
    <row r="196" s="86" customFormat="1" ht="24" customHeight="1" outlineLevel="1" spans="1:15">
      <c r="A196" s="97"/>
      <c r="B196" s="98" t="s">
        <v>55</v>
      </c>
      <c r="C196" s="99"/>
      <c r="D196" s="100"/>
      <c r="E196" s="101"/>
      <c r="F196" s="101"/>
      <c r="G196" s="101"/>
      <c r="H196" s="101"/>
      <c r="I196" s="101"/>
      <c r="J196" s="101"/>
      <c r="K196" s="102"/>
      <c r="L196" s="96"/>
    </row>
    <row r="197" s="86" customFormat="1" ht="96" outlineLevel="2" spans="1:15">
      <c r="A197" s="103">
        <f>1+N(A196)</f>
        <v>1</v>
      </c>
      <c r="B197" s="98" t="s">
        <v>161</v>
      </c>
      <c r="C197" s="99" t="s">
        <v>162</v>
      </c>
      <c r="D197" s="100" t="s">
        <v>58</v>
      </c>
      <c r="E197" s="101">
        <v>21.5</v>
      </c>
      <c r="F197" s="101"/>
      <c r="G197" s="101"/>
      <c r="H197" s="27"/>
      <c r="I197" s="27">
        <f>(F197+G197+H197)*$I$3</f>
        <v>0</v>
      </c>
      <c r="J197" s="28">
        <f>ROUND(SUM(F197:I197),2)</f>
        <v>0</v>
      </c>
      <c r="K197" s="29">
        <f>ROUND(J197*E197,2)</f>
        <v>0</v>
      </c>
      <c r="L197" s="96"/>
      <c r="M197" s="86">
        <v>1</v>
      </c>
    </row>
    <row r="198" s="86" customFormat="1" ht="36" outlineLevel="2" spans="1:15">
      <c r="A198" s="103">
        <f>1+N(A197)</f>
        <v>2</v>
      </c>
      <c r="B198" s="98" t="s">
        <v>63</v>
      </c>
      <c r="C198" s="99" t="s">
        <v>64</v>
      </c>
      <c r="D198" s="100" t="s">
        <v>65</v>
      </c>
      <c r="E198" s="101">
        <v>2.1</v>
      </c>
      <c r="F198" s="101"/>
      <c r="G198" s="101"/>
      <c r="H198" s="101"/>
      <c r="I198" s="27">
        <f>(F198+G198+H198)*$I$3</f>
        <v>0</v>
      </c>
      <c r="J198" s="28">
        <f>ROUND(SUM(F198:I198),2)</f>
        <v>0</v>
      </c>
      <c r="K198" s="29">
        <f>ROUND(J198*E198,2)</f>
        <v>0</v>
      </c>
      <c r="L198" s="96"/>
      <c r="M198" s="86">
        <v>1</v>
      </c>
    </row>
    <row r="199" s="86" customFormat="1" ht="24" customHeight="1" outlineLevel="1" spans="1:15">
      <c r="A199" s="97"/>
      <c r="B199" s="98" t="s">
        <v>68</v>
      </c>
      <c r="C199" s="99"/>
      <c r="D199" s="100"/>
      <c r="E199" s="101"/>
      <c r="F199" s="101"/>
      <c r="G199" s="101"/>
      <c r="H199" s="101"/>
      <c r="I199" s="101"/>
      <c r="J199" s="101"/>
      <c r="K199" s="102"/>
      <c r="L199" s="96"/>
    </row>
    <row r="200" s="86" customFormat="1" ht="72" outlineLevel="2" spans="1:15">
      <c r="A200" s="103">
        <f>1+N(A199)</f>
        <v>1</v>
      </c>
      <c r="B200" s="105" t="s">
        <v>167</v>
      </c>
      <c r="C200" s="106" t="s">
        <v>168</v>
      </c>
      <c r="D200" s="105" t="s">
        <v>58</v>
      </c>
      <c r="E200" s="101">
        <v>27.004</v>
      </c>
      <c r="F200" s="101"/>
      <c r="G200" s="101"/>
      <c r="H200" s="101"/>
      <c r="I200" s="27">
        <f>(F200+G200+H200)*$I$3</f>
        <v>0</v>
      </c>
      <c r="J200" s="28">
        <f>ROUND(SUM(F200:I200),2)</f>
        <v>0</v>
      </c>
      <c r="K200" s="29">
        <f>ROUND(J200*E200,2)</f>
        <v>0</v>
      </c>
      <c r="L200" s="96"/>
      <c r="M200" s="86">
        <v>1</v>
      </c>
    </row>
    <row r="201" s="86" customFormat="1" ht="48" outlineLevel="2" spans="1:15">
      <c r="A201" s="103">
        <f>1+N(A200)</f>
        <v>2</v>
      </c>
      <c r="B201" s="105" t="s">
        <v>86</v>
      </c>
      <c r="C201" s="106" t="s">
        <v>87</v>
      </c>
      <c r="D201" s="105" t="s">
        <v>65</v>
      </c>
      <c r="E201" s="101">
        <v>9.15</v>
      </c>
      <c r="F201" s="101"/>
      <c r="G201" s="101"/>
      <c r="H201" s="101"/>
      <c r="I201" s="27">
        <f>(F201+G201+H201)*$I$3</f>
        <v>0</v>
      </c>
      <c r="J201" s="28">
        <f>ROUND(SUM(F201:I201),2)</f>
        <v>0</v>
      </c>
      <c r="K201" s="29">
        <f>ROUND(J201*E201,2)</f>
        <v>0</v>
      </c>
      <c r="L201" s="96"/>
      <c r="M201" s="86">
        <v>1</v>
      </c>
    </row>
    <row r="202" s="86" customFormat="1" ht="48" outlineLevel="2" spans="1:15">
      <c r="A202" s="103">
        <f>1+N(A201)</f>
        <v>3</v>
      </c>
      <c r="B202" s="105" t="s">
        <v>92</v>
      </c>
      <c r="C202" s="106" t="s">
        <v>93</v>
      </c>
      <c r="D202" s="105" t="s">
        <v>65</v>
      </c>
      <c r="E202" s="101">
        <v>9.15</v>
      </c>
      <c r="F202" s="101"/>
      <c r="G202" s="101"/>
      <c r="H202" s="101"/>
      <c r="I202" s="27">
        <f>(F202+G202+H202)*$I$3</f>
        <v>0</v>
      </c>
      <c r="J202" s="28">
        <f>ROUND(SUM(F202:I202),2)</f>
        <v>0</v>
      </c>
      <c r="K202" s="29">
        <f>ROUND(J202*E202,2)</f>
        <v>0</v>
      </c>
      <c r="L202" s="96"/>
      <c r="M202" s="86">
        <v>1</v>
      </c>
    </row>
    <row r="203" s="86" customFormat="1" ht="48" outlineLevel="2" spans="1:15">
      <c r="A203" s="103">
        <f>1+N(A202)</f>
        <v>4</v>
      </c>
      <c r="B203" s="105" t="s">
        <v>94</v>
      </c>
      <c r="C203" s="106" t="s">
        <v>95</v>
      </c>
      <c r="D203" s="105" t="s">
        <v>65</v>
      </c>
      <c r="E203" s="101">
        <v>9.15</v>
      </c>
      <c r="F203" s="101"/>
      <c r="G203" s="101"/>
      <c r="H203" s="101"/>
      <c r="I203" s="27">
        <f>(F203+G203+H203)*$I$3</f>
        <v>0</v>
      </c>
      <c r="J203" s="28">
        <f>ROUND(SUM(F203:I203),2)</f>
        <v>0</v>
      </c>
      <c r="K203" s="29">
        <f>ROUND(J203*E203,2)</f>
        <v>0</v>
      </c>
      <c r="L203" s="96"/>
      <c r="M203" s="86">
        <v>1</v>
      </c>
    </row>
    <row r="204" s="86" customFormat="1" ht="24" customHeight="1" outlineLevel="1" spans="1:15">
      <c r="A204" s="97"/>
      <c r="B204" s="98" t="s">
        <v>96</v>
      </c>
      <c r="C204" s="99"/>
      <c r="D204" s="100"/>
      <c r="E204" s="101"/>
      <c r="F204" s="101"/>
      <c r="G204" s="101"/>
      <c r="H204" s="101"/>
      <c r="I204" s="101"/>
      <c r="J204" s="101"/>
      <c r="K204" s="102"/>
      <c r="L204" s="96"/>
    </row>
    <row r="205" s="86" customFormat="1" ht="96" outlineLevel="2" spans="1:15">
      <c r="A205" s="103">
        <f>1+N(A204)</f>
        <v>1</v>
      </c>
      <c r="B205" s="98" t="s">
        <v>97</v>
      </c>
      <c r="C205" s="108" t="s">
        <v>98</v>
      </c>
      <c r="D205" s="100" t="s">
        <v>58</v>
      </c>
      <c r="E205" s="101">
        <v>21.5</v>
      </c>
      <c r="F205" s="101"/>
      <c r="G205" s="101"/>
      <c r="H205" s="101"/>
      <c r="I205" s="27">
        <f>(F205+G205+H205)*$I$3</f>
        <v>0</v>
      </c>
      <c r="J205" s="28">
        <f>ROUND(SUM(F205:I205),2)</f>
        <v>0</v>
      </c>
      <c r="K205" s="29">
        <f>ROUND(J205*E205,2)</f>
        <v>0</v>
      </c>
      <c r="L205" s="96"/>
      <c r="M205" s="86">
        <v>1</v>
      </c>
    </row>
    <row r="206" s="86" customFormat="1" ht="72" customHeight="1" outlineLevel="2" spans="1:15">
      <c r="A206" s="103">
        <f>1+N(A205)</f>
        <v>2</v>
      </c>
      <c r="B206" s="98" t="s">
        <v>105</v>
      </c>
      <c r="C206" s="108" t="s">
        <v>106</v>
      </c>
      <c r="D206" s="100" t="s">
        <v>58</v>
      </c>
      <c r="E206" s="101">
        <v>21.5</v>
      </c>
      <c r="F206" s="101"/>
      <c r="G206" s="101"/>
      <c r="H206" s="101"/>
      <c r="I206" s="27">
        <f>(F206+G206+H206)*$I$3</f>
        <v>0</v>
      </c>
      <c r="J206" s="28">
        <f>ROUND(SUM(F206:I206),2)</f>
        <v>0</v>
      </c>
      <c r="K206" s="29">
        <f>ROUND(J206*E206,2)</f>
        <v>0</v>
      </c>
      <c r="L206" s="96"/>
      <c r="M206" s="86">
        <v>1</v>
      </c>
    </row>
    <row r="207" s="86" customFormat="1" ht="24" customHeight="1" outlineLevel="1" spans="1:15">
      <c r="A207" s="97"/>
      <c r="B207" s="98" t="s">
        <v>107</v>
      </c>
      <c r="C207" s="99"/>
      <c r="D207" s="100"/>
      <c r="E207" s="101"/>
      <c r="F207" s="101"/>
      <c r="G207" s="101"/>
      <c r="H207" s="101"/>
      <c r="I207" s="101"/>
      <c r="J207" s="101"/>
      <c r="K207" s="102"/>
      <c r="L207" s="96"/>
    </row>
    <row r="208" s="86" customFormat="1" ht="24" customHeight="1" outlineLevel="1" spans="1:15">
      <c r="A208" s="92" t="s">
        <v>122</v>
      </c>
      <c r="B208" s="93" t="s">
        <v>177</v>
      </c>
      <c r="C208" s="93"/>
      <c r="D208" s="94"/>
      <c r="E208" s="95"/>
      <c r="F208" s="95"/>
      <c r="G208" s="95"/>
      <c r="H208" s="95"/>
      <c r="I208" s="95"/>
      <c r="J208" s="95"/>
      <c r="K208" s="23"/>
      <c r="L208" s="96"/>
      <c r="O208" s="112" t="str">
        <f>_xlfn.DISPIMG("ID_3EDF700A401B40FA9BCCF945FE0F78E7",1)</f>
        <v>=DISPIMG("ID_3EDF700A401B40FA9BCCF945FE0F78E7",1)</v>
      </c>
    </row>
    <row r="209" s="86" customFormat="1" ht="24" customHeight="1" outlineLevel="1" spans="1:13">
      <c r="A209" s="97"/>
      <c r="B209" s="98" t="s">
        <v>55</v>
      </c>
      <c r="C209" s="99"/>
      <c r="D209" s="100"/>
      <c r="E209" s="101"/>
      <c r="F209" s="101"/>
      <c r="G209" s="101"/>
      <c r="H209" s="101"/>
      <c r="I209" s="101"/>
      <c r="J209" s="101"/>
      <c r="K209" s="102"/>
      <c r="L209" s="96"/>
    </row>
    <row r="210" s="86" customFormat="1" ht="60" customHeight="1" outlineLevel="2" spans="1:13">
      <c r="A210" s="103">
        <f t="shared" ref="A210:A216" si="36">1+N(A209)</f>
        <v>1</v>
      </c>
      <c r="B210" s="98" t="s">
        <v>178</v>
      </c>
      <c r="C210" s="99" t="s">
        <v>179</v>
      </c>
      <c r="D210" s="100" t="s">
        <v>58</v>
      </c>
      <c r="E210" s="101">
        <v>3.12</v>
      </c>
      <c r="F210" s="101"/>
      <c r="G210" s="101"/>
      <c r="H210" s="101"/>
      <c r="I210" s="27">
        <f t="shared" ref="I210:I216" si="37">(F210+G210+H210)*$I$3</f>
        <v>0</v>
      </c>
      <c r="J210" s="28">
        <f t="shared" ref="J210:J216" si="38">ROUND(SUM(F210:I210),2)</f>
        <v>0</v>
      </c>
      <c r="K210" s="29">
        <f t="shared" ref="K210:K216" si="39">ROUND(J210*E210,2)</f>
        <v>0</v>
      </c>
      <c r="L210" s="96"/>
      <c r="M210" s="86">
        <v>1</v>
      </c>
    </row>
    <row r="211" s="86" customFormat="1" ht="60" customHeight="1" outlineLevel="2" spans="1:13">
      <c r="A211" s="103">
        <f t="shared" si="36"/>
        <v>2</v>
      </c>
      <c r="B211" s="98" t="s">
        <v>180</v>
      </c>
      <c r="C211" s="99" t="s">
        <v>181</v>
      </c>
      <c r="D211" s="100" t="s">
        <v>58</v>
      </c>
      <c r="E211" s="101">
        <v>3.12</v>
      </c>
      <c r="F211" s="101"/>
      <c r="G211" s="101"/>
      <c r="H211" s="101"/>
      <c r="I211" s="27">
        <f t="shared" si="37"/>
        <v>0</v>
      </c>
      <c r="J211" s="28">
        <f t="shared" si="38"/>
        <v>0</v>
      </c>
      <c r="K211" s="29">
        <f t="shared" si="39"/>
        <v>0</v>
      </c>
      <c r="L211" s="96"/>
      <c r="M211" s="86">
        <v>1</v>
      </c>
    </row>
    <row r="212" s="86" customFormat="1" ht="48" customHeight="1" outlineLevel="2" spans="1:13">
      <c r="A212" s="103">
        <f t="shared" si="36"/>
        <v>3</v>
      </c>
      <c r="B212" s="98" t="s">
        <v>182</v>
      </c>
      <c r="C212" s="99" t="s">
        <v>183</v>
      </c>
      <c r="D212" s="100" t="s">
        <v>58</v>
      </c>
      <c r="E212" s="101">
        <v>3.12</v>
      </c>
      <c r="F212" s="101"/>
      <c r="G212" s="101"/>
      <c r="H212" s="101"/>
      <c r="I212" s="27">
        <f t="shared" si="37"/>
        <v>0</v>
      </c>
      <c r="J212" s="28">
        <f t="shared" si="38"/>
        <v>0</v>
      </c>
      <c r="K212" s="29">
        <f t="shared" si="39"/>
        <v>0</v>
      </c>
      <c r="L212" s="96"/>
      <c r="M212" s="86">
        <v>1</v>
      </c>
    </row>
    <row r="213" s="86" customFormat="1" ht="48" customHeight="1" outlineLevel="2" spans="1:13">
      <c r="A213" s="103">
        <f t="shared" si="36"/>
        <v>4</v>
      </c>
      <c r="B213" s="104" t="s">
        <v>184</v>
      </c>
      <c r="C213" s="113" t="s">
        <v>185</v>
      </c>
      <c r="D213" s="100" t="s">
        <v>58</v>
      </c>
      <c r="E213" s="101">
        <v>3.12</v>
      </c>
      <c r="F213" s="101"/>
      <c r="G213" s="101"/>
      <c r="H213" s="101"/>
      <c r="I213" s="27">
        <f t="shared" si="37"/>
        <v>0</v>
      </c>
      <c r="J213" s="28">
        <f t="shared" si="38"/>
        <v>0</v>
      </c>
      <c r="K213" s="29">
        <f t="shared" si="39"/>
        <v>0</v>
      </c>
      <c r="L213" s="96"/>
      <c r="M213" s="86">
        <v>1</v>
      </c>
    </row>
    <row r="214" s="86" customFormat="1" ht="84" customHeight="1" outlineLevel="2" spans="1:13">
      <c r="A214" s="103">
        <f t="shared" si="36"/>
        <v>5</v>
      </c>
      <c r="B214" s="98" t="s">
        <v>61</v>
      </c>
      <c r="C214" s="99" t="s">
        <v>62</v>
      </c>
      <c r="D214" s="100" t="s">
        <v>58</v>
      </c>
      <c r="E214" s="101">
        <v>3.12</v>
      </c>
      <c r="F214" s="101"/>
      <c r="G214" s="101"/>
      <c r="H214" s="27"/>
      <c r="I214" s="27">
        <f t="shared" si="37"/>
        <v>0</v>
      </c>
      <c r="J214" s="28">
        <f t="shared" si="38"/>
        <v>0</v>
      </c>
      <c r="K214" s="29">
        <f t="shared" si="39"/>
        <v>0</v>
      </c>
      <c r="L214" s="96"/>
      <c r="M214" s="86">
        <v>1</v>
      </c>
    </row>
    <row r="215" s="86" customFormat="1" ht="84" customHeight="1" outlineLevel="2" spans="1:13">
      <c r="A215" s="103">
        <f t="shared" si="36"/>
        <v>6</v>
      </c>
      <c r="B215" s="98" t="s">
        <v>56</v>
      </c>
      <c r="C215" s="99" t="s">
        <v>57</v>
      </c>
      <c r="D215" s="100" t="s">
        <v>58</v>
      </c>
      <c r="E215" s="101">
        <v>0.25</v>
      </c>
      <c r="F215" s="101"/>
      <c r="G215" s="101"/>
      <c r="H215" s="27"/>
      <c r="I215" s="27">
        <f t="shared" si="37"/>
        <v>0</v>
      </c>
      <c r="J215" s="28">
        <f t="shared" si="38"/>
        <v>0</v>
      </c>
      <c r="K215" s="29">
        <f t="shared" si="39"/>
        <v>0</v>
      </c>
      <c r="L215" s="96"/>
      <c r="M215" s="86">
        <v>1</v>
      </c>
    </row>
    <row r="216" s="86" customFormat="1" ht="48" outlineLevel="2" spans="1:13">
      <c r="A216" s="103">
        <f t="shared" si="36"/>
        <v>7</v>
      </c>
      <c r="B216" s="98" t="s">
        <v>66</v>
      </c>
      <c r="C216" s="99" t="s">
        <v>67</v>
      </c>
      <c r="D216" s="100" t="s">
        <v>58</v>
      </c>
      <c r="E216" s="101">
        <v>0.25</v>
      </c>
      <c r="F216" s="101"/>
      <c r="G216" s="101"/>
      <c r="H216" s="101"/>
      <c r="I216" s="27">
        <f t="shared" si="37"/>
        <v>0</v>
      </c>
      <c r="J216" s="28">
        <f t="shared" si="38"/>
        <v>0</v>
      </c>
      <c r="K216" s="29">
        <f t="shared" si="39"/>
        <v>0</v>
      </c>
      <c r="L216" s="96"/>
      <c r="M216" s="86">
        <v>1</v>
      </c>
    </row>
    <row r="217" s="86" customFormat="1" ht="24" customHeight="1" outlineLevel="1" spans="1:13">
      <c r="A217" s="97"/>
      <c r="B217" s="98" t="s">
        <v>68</v>
      </c>
      <c r="C217" s="99"/>
      <c r="D217" s="100"/>
      <c r="E217" s="101"/>
      <c r="F217" s="101"/>
      <c r="G217" s="101"/>
      <c r="H217" s="101"/>
      <c r="I217" s="101"/>
      <c r="J217" s="101"/>
      <c r="K217" s="102"/>
      <c r="L217" s="96"/>
    </row>
    <row r="218" s="86" customFormat="1" ht="60" customHeight="1" outlineLevel="2" spans="1:13">
      <c r="A218" s="103">
        <f>1+N(A217)</f>
        <v>1</v>
      </c>
      <c r="B218" s="104" t="s">
        <v>186</v>
      </c>
      <c r="C218" s="106" t="s">
        <v>187</v>
      </c>
      <c r="D218" s="105" t="s">
        <v>58</v>
      </c>
      <c r="E218" s="101">
        <v>18.324</v>
      </c>
      <c r="F218" s="101"/>
      <c r="G218" s="101"/>
      <c r="H218" s="101"/>
      <c r="I218" s="27">
        <f>(F218+G218+H218)*$I$3</f>
        <v>0</v>
      </c>
      <c r="J218" s="28">
        <f>ROUND(SUM(F218:I218),2)</f>
        <v>0</v>
      </c>
      <c r="K218" s="29">
        <f>ROUND(J218*E218,2)</f>
        <v>0</v>
      </c>
      <c r="L218" s="96"/>
      <c r="M218" s="86">
        <v>1</v>
      </c>
    </row>
    <row r="219" s="86" customFormat="1" ht="24" outlineLevel="2" spans="1:13">
      <c r="A219" s="103">
        <f>1+N(A218)</f>
        <v>2</v>
      </c>
      <c r="B219" s="104" t="s">
        <v>188</v>
      </c>
      <c r="C219" s="106" t="s">
        <v>189</v>
      </c>
      <c r="D219" s="105" t="s">
        <v>58</v>
      </c>
      <c r="E219" s="101">
        <v>18.324</v>
      </c>
      <c r="F219" s="101"/>
      <c r="G219" s="101"/>
      <c r="H219" s="101"/>
      <c r="I219" s="27">
        <f>(F219+G219+H219)*$I$3</f>
        <v>0</v>
      </c>
      <c r="J219" s="28">
        <f>ROUND(SUM(F219:I219),2)</f>
        <v>0</v>
      </c>
      <c r="K219" s="29">
        <f>ROUND(J219*E219,2)</f>
        <v>0</v>
      </c>
      <c r="L219" s="96"/>
      <c r="M219" s="86">
        <v>1</v>
      </c>
    </row>
    <row r="220" s="86" customFormat="1" ht="24" customHeight="1" outlineLevel="1" spans="1:13">
      <c r="A220" s="97"/>
      <c r="B220" s="98" t="s">
        <v>96</v>
      </c>
      <c r="C220" s="99"/>
      <c r="D220" s="100"/>
      <c r="E220" s="101"/>
      <c r="F220" s="101"/>
      <c r="G220" s="101"/>
      <c r="H220" s="101"/>
      <c r="I220" s="101"/>
      <c r="J220" s="101"/>
      <c r="K220" s="102"/>
      <c r="L220" s="96"/>
    </row>
    <row r="221" s="86" customFormat="1" ht="96" outlineLevel="2" spans="1:13">
      <c r="A221" s="103">
        <f>1+N(A220)</f>
        <v>1</v>
      </c>
      <c r="B221" s="98" t="s">
        <v>97</v>
      </c>
      <c r="C221" s="108" t="s">
        <v>98</v>
      </c>
      <c r="D221" s="100" t="s">
        <v>58</v>
      </c>
      <c r="E221" s="101">
        <v>3.12</v>
      </c>
      <c r="F221" s="101"/>
      <c r="G221" s="101"/>
      <c r="H221" s="101"/>
      <c r="I221" s="27">
        <f>(F221+G221+H221)*$I$3</f>
        <v>0</v>
      </c>
      <c r="J221" s="28">
        <f>ROUND(SUM(F221:I221),2)</f>
        <v>0</v>
      </c>
      <c r="K221" s="29">
        <f>ROUND(J221*E221,2)</f>
        <v>0</v>
      </c>
      <c r="L221" s="96"/>
      <c r="M221" s="86">
        <v>1</v>
      </c>
    </row>
    <row r="222" s="86" customFormat="1" ht="48" outlineLevel="2" spans="1:13">
      <c r="A222" s="103">
        <f>1+N(A221)</f>
        <v>2</v>
      </c>
      <c r="B222" s="98" t="s">
        <v>99</v>
      </c>
      <c r="C222" s="108" t="s">
        <v>100</v>
      </c>
      <c r="D222" s="100" t="s">
        <v>65</v>
      </c>
      <c r="E222" s="101">
        <v>1.94</v>
      </c>
      <c r="F222" s="101"/>
      <c r="G222" s="101"/>
      <c r="H222" s="101"/>
      <c r="I222" s="27">
        <f>(F222+G222+H222)*$I$3</f>
        <v>0</v>
      </c>
      <c r="J222" s="28">
        <f>ROUND(SUM(F222:I222),2)</f>
        <v>0</v>
      </c>
      <c r="K222" s="29">
        <f>ROUND(J222*E222,2)</f>
        <v>0</v>
      </c>
      <c r="L222" s="96"/>
      <c r="M222" s="86">
        <v>1</v>
      </c>
    </row>
    <row r="223" s="86" customFormat="1" ht="72" customHeight="1" outlineLevel="2" spans="1:13">
      <c r="A223" s="103">
        <f>1+N(A222)</f>
        <v>3</v>
      </c>
      <c r="B223" s="98" t="s">
        <v>190</v>
      </c>
      <c r="C223" s="108" t="s">
        <v>191</v>
      </c>
      <c r="D223" s="100" t="s">
        <v>58</v>
      </c>
      <c r="E223" s="101">
        <f>3.12+1.94*0.3</f>
        <v>3.702</v>
      </c>
      <c r="F223" s="101"/>
      <c r="G223" s="101"/>
      <c r="H223" s="101"/>
      <c r="I223" s="27">
        <f>(F223+G223+H223)*$I$3</f>
        <v>0</v>
      </c>
      <c r="J223" s="28">
        <f>ROUND(SUM(F223:I223),2)</f>
        <v>0</v>
      </c>
      <c r="K223" s="29">
        <f>ROUND(J223*E223,2)</f>
        <v>0</v>
      </c>
      <c r="L223" s="96"/>
      <c r="M223" s="86">
        <v>1</v>
      </c>
    </row>
    <row r="224" s="86" customFormat="1" ht="24" customHeight="1" outlineLevel="1" spans="1:13">
      <c r="A224" s="97"/>
      <c r="B224" s="98" t="s">
        <v>107</v>
      </c>
      <c r="C224" s="99"/>
      <c r="D224" s="100"/>
      <c r="E224" s="101"/>
      <c r="F224" s="101"/>
      <c r="G224" s="101"/>
      <c r="H224" s="101"/>
      <c r="I224" s="101"/>
      <c r="J224" s="101"/>
      <c r="K224" s="102"/>
      <c r="L224" s="96"/>
    </row>
    <row r="225" s="86" customFormat="1" ht="24" customHeight="1" outlineLevel="1" spans="1:15">
      <c r="A225" s="92" t="s">
        <v>134</v>
      </c>
      <c r="B225" s="93" t="s">
        <v>192</v>
      </c>
      <c r="C225" s="93"/>
      <c r="D225" s="94"/>
      <c r="E225" s="95"/>
      <c r="F225" s="95"/>
      <c r="G225" s="95"/>
      <c r="H225" s="95"/>
      <c r="I225" s="95"/>
      <c r="J225" s="95"/>
      <c r="K225" s="23"/>
      <c r="L225" s="96"/>
      <c r="O225" s="112" t="str">
        <f>_xlfn.DISPIMG("ID_3A7A0C2DE56844B4974F8A1A9668BB74",1)</f>
        <v>=DISPIMG("ID_3A7A0C2DE56844B4974F8A1A9668BB74",1)</v>
      </c>
    </row>
    <row r="226" s="86" customFormat="1" ht="24" customHeight="1" outlineLevel="1" spans="1:15">
      <c r="A226" s="97"/>
      <c r="B226" s="98" t="s">
        <v>55</v>
      </c>
      <c r="C226" s="99"/>
      <c r="D226" s="100"/>
      <c r="E226" s="101"/>
      <c r="F226" s="101"/>
      <c r="G226" s="101"/>
      <c r="H226" s="101"/>
      <c r="I226" s="101"/>
      <c r="J226" s="101"/>
      <c r="K226" s="102"/>
      <c r="L226" s="96"/>
    </row>
    <row r="227" s="86" customFormat="1" ht="60" outlineLevel="2" spans="1:15">
      <c r="A227" s="103">
        <f>1+N(A226)</f>
        <v>1</v>
      </c>
      <c r="B227" s="98" t="s">
        <v>163</v>
      </c>
      <c r="C227" s="99" t="s">
        <v>193</v>
      </c>
      <c r="D227" s="100" t="s">
        <v>58</v>
      </c>
      <c r="E227" s="101">
        <v>4.83</v>
      </c>
      <c r="F227" s="101"/>
      <c r="G227" s="101"/>
      <c r="H227" s="101"/>
      <c r="I227" s="27">
        <f>(F227+G227+H227)*$I$3</f>
        <v>0</v>
      </c>
      <c r="J227" s="28">
        <f>ROUND(SUM(F227:I227),2)</f>
        <v>0</v>
      </c>
      <c r="K227" s="29">
        <f>ROUND(J227*E227,2)</f>
        <v>0</v>
      </c>
      <c r="L227" s="96"/>
      <c r="M227" s="86">
        <v>1</v>
      </c>
    </row>
    <row r="228" s="86" customFormat="1" ht="108" outlineLevel="2" spans="1:15">
      <c r="A228" s="103">
        <f>1+N(A227)</f>
        <v>2</v>
      </c>
      <c r="B228" s="98" t="s">
        <v>194</v>
      </c>
      <c r="C228" s="99" t="s">
        <v>195</v>
      </c>
      <c r="D228" s="100" t="s">
        <v>58</v>
      </c>
      <c r="E228" s="101">
        <v>68.6</v>
      </c>
      <c r="F228" s="101"/>
      <c r="G228" s="101"/>
      <c r="H228" s="101"/>
      <c r="I228" s="27">
        <f>(F228+G228+H228)*$I$3</f>
        <v>0</v>
      </c>
      <c r="J228" s="28">
        <f>ROUND(SUM(F228:I228),2)</f>
        <v>0</v>
      </c>
      <c r="K228" s="29">
        <f>ROUND(J228*E228,2)</f>
        <v>0</v>
      </c>
      <c r="L228" s="96"/>
      <c r="M228" s="86">
        <v>1</v>
      </c>
    </row>
    <row r="229" s="86" customFormat="1" ht="72" outlineLevel="2" spans="1:15">
      <c r="A229" s="103">
        <f>1+N(A228)</f>
        <v>3</v>
      </c>
      <c r="B229" s="98" t="s">
        <v>196</v>
      </c>
      <c r="C229" s="99" t="s">
        <v>197</v>
      </c>
      <c r="D229" s="100" t="s">
        <v>58</v>
      </c>
      <c r="E229" s="101">
        <v>5.13</v>
      </c>
      <c r="F229" s="101"/>
      <c r="G229" s="101"/>
      <c r="H229" s="101"/>
      <c r="I229" s="27">
        <f>(F229+G229+H229)*$I$3</f>
        <v>0</v>
      </c>
      <c r="J229" s="28">
        <f>ROUND(SUM(F229:I229),2)</f>
        <v>0</v>
      </c>
      <c r="K229" s="29">
        <f>ROUND(J229*E229,2)</f>
        <v>0</v>
      </c>
      <c r="L229" s="96"/>
      <c r="M229" s="86">
        <v>1</v>
      </c>
    </row>
    <row r="230" s="86" customFormat="1" ht="36" outlineLevel="2" spans="1:15">
      <c r="A230" s="103">
        <f>1+N(A229)</f>
        <v>4</v>
      </c>
      <c r="B230" s="98" t="s">
        <v>63</v>
      </c>
      <c r="C230" s="99" t="s">
        <v>64</v>
      </c>
      <c r="D230" s="100" t="s">
        <v>65</v>
      </c>
      <c r="E230" s="101">
        <v>12.6</v>
      </c>
      <c r="F230" s="101"/>
      <c r="G230" s="101"/>
      <c r="H230" s="101"/>
      <c r="I230" s="27">
        <f>(F230+G230+H230)*$I$3</f>
        <v>0</v>
      </c>
      <c r="J230" s="28">
        <f>ROUND(SUM(F230:I230),2)</f>
        <v>0</v>
      </c>
      <c r="K230" s="29">
        <f>ROUND(J230*E230,2)</f>
        <v>0</v>
      </c>
      <c r="L230" s="96"/>
      <c r="M230" s="86">
        <v>1</v>
      </c>
    </row>
    <row r="231" s="86" customFormat="1" ht="24" customHeight="1" outlineLevel="1" spans="1:15">
      <c r="A231" s="97"/>
      <c r="B231" s="98" t="s">
        <v>68</v>
      </c>
      <c r="C231" s="99"/>
      <c r="D231" s="100"/>
      <c r="E231" s="101"/>
      <c r="F231" s="101"/>
      <c r="G231" s="101"/>
      <c r="H231" s="101"/>
      <c r="I231" s="101"/>
      <c r="J231" s="101"/>
      <c r="K231" s="102"/>
      <c r="L231" s="96"/>
    </row>
    <row r="232" s="86" customFormat="1" ht="72" outlineLevel="2" spans="1:15">
      <c r="A232" s="103">
        <f>1+N(A231)</f>
        <v>1</v>
      </c>
      <c r="B232" s="104" t="s">
        <v>167</v>
      </c>
      <c r="C232" s="99" t="s">
        <v>168</v>
      </c>
      <c r="D232" s="100" t="s">
        <v>58</v>
      </c>
      <c r="E232" s="101">
        <v>15.392</v>
      </c>
      <c r="F232" s="101"/>
      <c r="G232" s="101"/>
      <c r="H232" s="101"/>
      <c r="I232" s="27">
        <f>(F232+G232+H232)*$I$3</f>
        <v>0</v>
      </c>
      <c r="J232" s="28">
        <f>ROUND(SUM(F232:I232),2)</f>
        <v>0</v>
      </c>
      <c r="K232" s="29">
        <f>ROUND(J232*E232,2)</f>
        <v>0</v>
      </c>
      <c r="L232" s="96"/>
      <c r="M232" s="86">
        <v>1</v>
      </c>
    </row>
    <row r="233" s="86" customFormat="1" ht="72" outlineLevel="2" spans="1:15">
      <c r="A233" s="103">
        <f>1+N(A232)</f>
        <v>2</v>
      </c>
      <c r="B233" s="104" t="s">
        <v>198</v>
      </c>
      <c r="C233" s="99" t="s">
        <v>199</v>
      </c>
      <c r="D233" s="100" t="s">
        <v>58</v>
      </c>
      <c r="E233" s="101">
        <v>104.178</v>
      </c>
      <c r="F233" s="101"/>
      <c r="G233" s="101"/>
      <c r="H233" s="101"/>
      <c r="I233" s="27">
        <f>(F233+G233+H233)*$I$3</f>
        <v>0</v>
      </c>
      <c r="J233" s="28">
        <f>ROUND(SUM(F233:I233),2)</f>
        <v>0</v>
      </c>
      <c r="K233" s="29">
        <f>ROUND(J233*E233,2)</f>
        <v>0</v>
      </c>
      <c r="L233" s="96"/>
      <c r="M233" s="86">
        <v>1</v>
      </c>
    </row>
    <row r="234" s="86" customFormat="1" ht="48" outlineLevel="2" spans="1:15">
      <c r="A234" s="103">
        <f>1+N(A233)</f>
        <v>3</v>
      </c>
      <c r="B234" s="105" t="s">
        <v>86</v>
      </c>
      <c r="C234" s="106" t="s">
        <v>87</v>
      </c>
      <c r="D234" s="105" t="s">
        <v>65</v>
      </c>
      <c r="E234" s="101">
        <v>39.943</v>
      </c>
      <c r="F234" s="101"/>
      <c r="G234" s="101"/>
      <c r="H234" s="101"/>
      <c r="I234" s="27">
        <f>(F234+G234+H234)*$I$3</f>
        <v>0</v>
      </c>
      <c r="J234" s="28">
        <f>ROUND(SUM(F234:I234),2)</f>
        <v>0</v>
      </c>
      <c r="K234" s="29">
        <f>ROUND(J234*E234,2)</f>
        <v>0</v>
      </c>
      <c r="L234" s="96"/>
      <c r="M234" s="86">
        <v>1</v>
      </c>
    </row>
    <row r="235" s="86" customFormat="1" ht="48" outlineLevel="2" spans="1:15">
      <c r="A235" s="103">
        <f>1+N(A234)</f>
        <v>4</v>
      </c>
      <c r="B235" s="105" t="s">
        <v>94</v>
      </c>
      <c r="C235" s="106" t="s">
        <v>95</v>
      </c>
      <c r="D235" s="105" t="s">
        <v>65</v>
      </c>
      <c r="E235" s="101">
        <v>39.943</v>
      </c>
      <c r="F235" s="101"/>
      <c r="G235" s="101"/>
      <c r="H235" s="101"/>
      <c r="I235" s="27">
        <f>(F235+G235+H235)*$I$3</f>
        <v>0</v>
      </c>
      <c r="J235" s="28">
        <f>ROUND(SUM(F235:I235),2)</f>
        <v>0</v>
      </c>
      <c r="K235" s="29">
        <f>ROUND(J235*E235,2)</f>
        <v>0</v>
      </c>
      <c r="L235" s="96"/>
      <c r="M235" s="86">
        <v>1</v>
      </c>
    </row>
    <row r="236" s="86" customFormat="1" ht="24" customHeight="1" outlineLevel="1" spans="1:15">
      <c r="A236" s="97"/>
      <c r="B236" s="98" t="s">
        <v>96</v>
      </c>
      <c r="C236" s="99"/>
      <c r="D236" s="100"/>
      <c r="E236" s="101"/>
      <c r="F236" s="101"/>
      <c r="G236" s="101"/>
      <c r="H236" s="101"/>
      <c r="I236" s="101"/>
      <c r="J236" s="101"/>
      <c r="K236" s="102"/>
      <c r="L236" s="96"/>
    </row>
    <row r="237" s="86" customFormat="1" ht="96" outlineLevel="2" spans="1:15">
      <c r="A237" s="103">
        <f>1+N(A236)</f>
        <v>1</v>
      </c>
      <c r="B237" s="98" t="s">
        <v>97</v>
      </c>
      <c r="C237" s="108" t="s">
        <v>98</v>
      </c>
      <c r="D237" s="100" t="s">
        <v>58</v>
      </c>
      <c r="E237" s="101">
        <v>78.56</v>
      </c>
      <c r="F237" s="101"/>
      <c r="G237" s="101"/>
      <c r="H237" s="101"/>
      <c r="I237" s="27">
        <f>(F237+G237+H237)*$I$3</f>
        <v>0</v>
      </c>
      <c r="J237" s="28">
        <f>ROUND(SUM(F237:I237),2)</f>
        <v>0</v>
      </c>
      <c r="K237" s="29">
        <f>ROUND(J237*E237,2)</f>
        <v>0</v>
      </c>
      <c r="L237" s="96"/>
      <c r="M237" s="86">
        <v>1</v>
      </c>
    </row>
    <row r="238" s="86" customFormat="1" ht="48" outlineLevel="2" spans="1:15">
      <c r="A238" s="103">
        <f>1+N(A237)</f>
        <v>2</v>
      </c>
      <c r="B238" s="98" t="s">
        <v>99</v>
      </c>
      <c r="C238" s="108" t="s">
        <v>100</v>
      </c>
      <c r="D238" s="100" t="s">
        <v>65</v>
      </c>
      <c r="E238" s="101">
        <v>40.93</v>
      </c>
      <c r="F238" s="101"/>
      <c r="G238" s="101"/>
      <c r="H238" s="101"/>
      <c r="I238" s="27">
        <f>(F238+G238+H238)*$I$3</f>
        <v>0</v>
      </c>
      <c r="J238" s="28">
        <f>ROUND(SUM(F238:I238),2)</f>
        <v>0</v>
      </c>
      <c r="K238" s="29">
        <f>ROUND(J238*E238,2)</f>
        <v>0</v>
      </c>
      <c r="L238" s="96"/>
      <c r="M238" s="86">
        <v>1</v>
      </c>
    </row>
    <row r="239" s="86" customFormat="1" ht="48" outlineLevel="2" spans="1:15">
      <c r="A239" s="103">
        <f>1+N(A238)</f>
        <v>3</v>
      </c>
      <c r="B239" s="98" t="s">
        <v>101</v>
      </c>
      <c r="C239" s="108" t="s">
        <v>102</v>
      </c>
      <c r="D239" s="100" t="s">
        <v>65</v>
      </c>
      <c r="E239" s="101">
        <v>40.93</v>
      </c>
      <c r="F239" s="101"/>
      <c r="G239" s="101"/>
      <c r="H239" s="101"/>
      <c r="I239" s="27">
        <f>(F239+G239+H239)*$I$3</f>
        <v>0</v>
      </c>
      <c r="J239" s="28">
        <f>ROUND(SUM(F239:I239),2)</f>
        <v>0</v>
      </c>
      <c r="K239" s="29">
        <f>ROUND(J239*E239,2)</f>
        <v>0</v>
      </c>
      <c r="L239" s="96"/>
      <c r="M239" s="86">
        <v>1</v>
      </c>
    </row>
    <row r="240" s="86" customFormat="1" ht="72" customHeight="1" outlineLevel="2" spans="1:15">
      <c r="A240" s="103">
        <f>1+N(A239)</f>
        <v>4</v>
      </c>
      <c r="B240" s="98" t="s">
        <v>105</v>
      </c>
      <c r="C240" s="108" t="s">
        <v>106</v>
      </c>
      <c r="D240" s="100" t="s">
        <v>58</v>
      </c>
      <c r="E240" s="101">
        <f>78.56+40.93*0.3</f>
        <v>90.839</v>
      </c>
      <c r="F240" s="101"/>
      <c r="G240" s="101"/>
      <c r="H240" s="101"/>
      <c r="I240" s="27">
        <f>(F240+G240+H240)*$I$3</f>
        <v>0</v>
      </c>
      <c r="J240" s="28">
        <f>ROUND(SUM(F240:I240),2)</f>
        <v>0</v>
      </c>
      <c r="K240" s="29">
        <f>ROUND(J240*E240,2)</f>
        <v>0</v>
      </c>
      <c r="L240" s="96"/>
      <c r="M240" s="86">
        <v>1</v>
      </c>
    </row>
    <row r="241" s="86" customFormat="1" ht="24" customHeight="1" outlineLevel="1" spans="1:15">
      <c r="A241" s="97"/>
      <c r="B241" s="98" t="s">
        <v>107</v>
      </c>
      <c r="C241" s="99"/>
      <c r="D241" s="100"/>
      <c r="E241" s="101"/>
      <c r="F241" s="101"/>
      <c r="G241" s="101"/>
      <c r="H241" s="101"/>
      <c r="I241" s="101"/>
      <c r="J241" s="101"/>
      <c r="K241" s="102"/>
      <c r="L241" s="96"/>
    </row>
    <row r="242" s="86" customFormat="1" ht="36" outlineLevel="2" spans="1:15">
      <c r="A242" s="103">
        <f>1+N(A241)</f>
        <v>1</v>
      </c>
      <c r="B242" s="98" t="s">
        <v>121</v>
      </c>
      <c r="C242" s="99" t="s">
        <v>109</v>
      </c>
      <c r="D242" s="100" t="s">
        <v>58</v>
      </c>
      <c r="E242" s="101">
        <f>0.7*3</f>
        <v>2.1</v>
      </c>
      <c r="F242" s="101"/>
      <c r="G242" s="101"/>
      <c r="H242" s="101"/>
      <c r="I242" s="27">
        <f>(F242+G242+H242)*$I$3</f>
        <v>0</v>
      </c>
      <c r="J242" s="28">
        <f>ROUND(SUM(F242:I242),2)</f>
        <v>0</v>
      </c>
      <c r="K242" s="29">
        <f>ROUND(J242*E242,2)</f>
        <v>0</v>
      </c>
      <c r="L242" s="96"/>
      <c r="M242" s="86">
        <v>1</v>
      </c>
    </row>
    <row r="243" s="86" customFormat="1" ht="24" customHeight="1" outlineLevel="1" spans="1:15">
      <c r="A243" s="92" t="s">
        <v>137</v>
      </c>
      <c r="B243" s="93" t="s">
        <v>200</v>
      </c>
      <c r="C243" s="93"/>
      <c r="D243" s="94"/>
      <c r="E243" s="95"/>
      <c r="F243" s="95"/>
      <c r="G243" s="95"/>
      <c r="H243" s="95"/>
      <c r="I243" s="95"/>
      <c r="J243" s="95"/>
      <c r="K243" s="23"/>
      <c r="L243" s="96"/>
      <c r="O243" s="112" t="str">
        <f>_xlfn.DISPIMG("ID_04C7688EC066428C80D92424805BDF58",1)</f>
        <v>=DISPIMG("ID_04C7688EC066428C80D92424805BDF58",1)</v>
      </c>
    </row>
    <row r="244" s="86" customFormat="1" ht="24" customHeight="1" outlineLevel="1" spans="1:15">
      <c r="A244" s="97"/>
      <c r="B244" s="98" t="s">
        <v>55</v>
      </c>
      <c r="C244" s="99"/>
      <c r="D244" s="100"/>
      <c r="E244" s="101"/>
      <c r="F244" s="101"/>
      <c r="G244" s="101"/>
      <c r="H244" s="101"/>
      <c r="I244" s="101"/>
      <c r="J244" s="101"/>
      <c r="K244" s="102"/>
      <c r="L244" s="96"/>
    </row>
    <row r="245" s="86" customFormat="1" ht="96" outlineLevel="2" spans="1:15">
      <c r="A245" s="103">
        <f>1+N(A244)</f>
        <v>1</v>
      </c>
      <c r="B245" s="98" t="s">
        <v>56</v>
      </c>
      <c r="C245" s="99" t="s">
        <v>57</v>
      </c>
      <c r="D245" s="100" t="s">
        <v>58</v>
      </c>
      <c r="E245" s="101">
        <v>9.8</v>
      </c>
      <c r="F245" s="101"/>
      <c r="G245" s="101"/>
      <c r="H245" s="27"/>
      <c r="I245" s="27">
        <f>(F245+G245+H245)*$I$3</f>
        <v>0</v>
      </c>
      <c r="J245" s="28">
        <f>ROUND(SUM(F245:I245),2)</f>
        <v>0</v>
      </c>
      <c r="K245" s="29">
        <f>ROUND(J245*E245,2)</f>
        <v>0</v>
      </c>
      <c r="L245" s="96"/>
      <c r="M245" s="86">
        <v>1</v>
      </c>
    </row>
    <row r="246" s="86" customFormat="1" ht="108" outlineLevel="2" spans="1:15">
      <c r="A246" s="103">
        <f>1+N(A245)</f>
        <v>2</v>
      </c>
      <c r="B246" s="98" t="s">
        <v>59</v>
      </c>
      <c r="C246" s="99" t="s">
        <v>60</v>
      </c>
      <c r="D246" s="100" t="s">
        <v>58</v>
      </c>
      <c r="E246" s="101">
        <v>10.6</v>
      </c>
      <c r="F246" s="101"/>
      <c r="G246" s="101"/>
      <c r="H246" s="101"/>
      <c r="I246" s="27">
        <f>(F246+G246+H246)*$I$3</f>
        <v>0</v>
      </c>
      <c r="J246" s="28">
        <f>ROUND(SUM(F246:I246),2)</f>
        <v>0</v>
      </c>
      <c r="K246" s="29">
        <f>ROUND(J246*E246,2)</f>
        <v>0</v>
      </c>
      <c r="L246" s="96"/>
      <c r="M246" s="86">
        <v>1</v>
      </c>
    </row>
    <row r="247" s="86" customFormat="1" ht="36" outlineLevel="2" spans="1:15">
      <c r="A247" s="103">
        <f>1+N(A246)</f>
        <v>3</v>
      </c>
      <c r="B247" s="98" t="s">
        <v>63</v>
      </c>
      <c r="C247" s="99" t="s">
        <v>64</v>
      </c>
      <c r="D247" s="100" t="s">
        <v>65</v>
      </c>
      <c r="E247" s="101">
        <v>12.6</v>
      </c>
      <c r="F247" s="101"/>
      <c r="G247" s="101"/>
      <c r="H247" s="101"/>
      <c r="I247" s="27">
        <f>(F247+G247+H247)*$I$3</f>
        <v>0</v>
      </c>
      <c r="J247" s="28">
        <f>ROUND(SUM(F247:I247),2)</f>
        <v>0</v>
      </c>
      <c r="K247" s="29">
        <f>ROUND(J247*E247,2)</f>
        <v>0</v>
      </c>
      <c r="L247" s="96"/>
      <c r="M247" s="86">
        <v>1</v>
      </c>
    </row>
    <row r="248" s="86" customFormat="1" ht="48" outlineLevel="2" spans="1:15">
      <c r="A248" s="103">
        <f>1+N(A247)</f>
        <v>4</v>
      </c>
      <c r="B248" s="98" t="s">
        <v>66</v>
      </c>
      <c r="C248" s="99" t="s">
        <v>67</v>
      </c>
      <c r="D248" s="100" t="s">
        <v>58</v>
      </c>
      <c r="E248" s="101">
        <v>20.4</v>
      </c>
      <c r="F248" s="101"/>
      <c r="G248" s="101"/>
      <c r="H248" s="101"/>
      <c r="I248" s="27">
        <f>(F248+G248+H248)*$I$3</f>
        <v>0</v>
      </c>
      <c r="J248" s="28">
        <f>ROUND(SUM(F248:I248),2)</f>
        <v>0</v>
      </c>
      <c r="K248" s="29">
        <f>ROUND(J248*E248,2)</f>
        <v>0</v>
      </c>
      <c r="L248" s="96"/>
      <c r="M248" s="86">
        <v>1</v>
      </c>
    </row>
    <row r="249" s="86" customFormat="1" ht="24" customHeight="1" outlineLevel="1" spans="1:15">
      <c r="A249" s="97"/>
      <c r="B249" s="98" t="s">
        <v>68</v>
      </c>
      <c r="C249" s="99"/>
      <c r="D249" s="100"/>
      <c r="E249" s="101"/>
      <c r="F249" s="101"/>
      <c r="G249" s="101"/>
      <c r="H249" s="101"/>
      <c r="I249" s="101"/>
      <c r="J249" s="101"/>
      <c r="K249" s="102"/>
      <c r="L249" s="96"/>
    </row>
    <row r="250" s="86" customFormat="1" ht="72" outlineLevel="2" spans="1:15">
      <c r="A250" s="103">
        <f t="shared" ref="A250:A258" si="40">1+N(A249)</f>
        <v>1</v>
      </c>
      <c r="B250" s="104" t="s">
        <v>69</v>
      </c>
      <c r="C250" s="99" t="s">
        <v>70</v>
      </c>
      <c r="D250" s="100" t="s">
        <v>58</v>
      </c>
      <c r="E250" s="101">
        <v>8.161</v>
      </c>
      <c r="F250" s="101"/>
      <c r="G250" s="101"/>
      <c r="H250" s="101"/>
      <c r="I250" s="27">
        <f t="shared" ref="I250:I258" si="41">(F250+G250+H250)*$I$3</f>
        <v>0</v>
      </c>
      <c r="J250" s="28">
        <f t="shared" ref="J250:J258" si="42">ROUND(SUM(F250:I250),2)</f>
        <v>0</v>
      </c>
      <c r="K250" s="29">
        <f t="shared" ref="K250:K258" si="43">ROUND(J250*E250,2)</f>
        <v>0</v>
      </c>
      <c r="L250" s="96"/>
      <c r="M250" s="86">
        <v>1</v>
      </c>
    </row>
    <row r="251" s="86" customFormat="1" ht="96" outlineLevel="2" spans="1:15">
      <c r="A251" s="103">
        <f t="shared" si="40"/>
        <v>2</v>
      </c>
      <c r="B251" s="105" t="s">
        <v>71</v>
      </c>
      <c r="C251" s="106" t="s">
        <v>72</v>
      </c>
      <c r="D251" s="100" t="s">
        <v>58</v>
      </c>
      <c r="E251" s="101">
        <f>38.754+0.727</f>
        <v>39.481</v>
      </c>
      <c r="F251" s="101"/>
      <c r="G251" s="101"/>
      <c r="H251" s="101"/>
      <c r="I251" s="27">
        <f t="shared" si="41"/>
        <v>0</v>
      </c>
      <c r="J251" s="28">
        <f t="shared" si="42"/>
        <v>0</v>
      </c>
      <c r="K251" s="29">
        <f t="shared" si="43"/>
        <v>0</v>
      </c>
      <c r="L251" s="96"/>
      <c r="M251" s="86">
        <v>1</v>
      </c>
    </row>
    <row r="252" s="86" customFormat="1" ht="48" outlineLevel="2" spans="1:15">
      <c r="A252" s="103">
        <f t="shared" si="40"/>
        <v>3</v>
      </c>
      <c r="B252" s="105" t="s">
        <v>79</v>
      </c>
      <c r="C252" s="106" t="s">
        <v>78</v>
      </c>
      <c r="D252" s="105" t="s">
        <v>58</v>
      </c>
      <c r="E252" s="101">
        <f>0.296*3*2*2</f>
        <v>3.552</v>
      </c>
      <c r="F252" s="101"/>
      <c r="G252" s="101"/>
      <c r="H252" s="101"/>
      <c r="I252" s="27">
        <f t="shared" si="41"/>
        <v>0</v>
      </c>
      <c r="J252" s="28">
        <f t="shared" si="42"/>
        <v>0</v>
      </c>
      <c r="K252" s="29">
        <f t="shared" si="43"/>
        <v>0</v>
      </c>
      <c r="L252" s="96"/>
      <c r="M252" s="86">
        <v>1</v>
      </c>
    </row>
    <row r="253" s="86" customFormat="1" ht="60" outlineLevel="2" spans="1:15">
      <c r="A253" s="103">
        <f t="shared" si="40"/>
        <v>4</v>
      </c>
      <c r="B253" s="105" t="s">
        <v>80</v>
      </c>
      <c r="C253" s="106" t="s">
        <v>81</v>
      </c>
      <c r="D253" s="105" t="s">
        <v>58</v>
      </c>
      <c r="E253" s="101">
        <f>+(0.061+0.72+0.114+0.074)*0.95*2</f>
        <v>1.8411</v>
      </c>
      <c r="F253" s="101"/>
      <c r="G253" s="101"/>
      <c r="H253" s="101"/>
      <c r="I253" s="27">
        <f t="shared" si="41"/>
        <v>0</v>
      </c>
      <c r="J253" s="28">
        <f t="shared" si="42"/>
        <v>0</v>
      </c>
      <c r="K253" s="29">
        <f t="shared" si="43"/>
        <v>0</v>
      </c>
      <c r="L253" s="96"/>
      <c r="M253" s="86">
        <v>1</v>
      </c>
    </row>
    <row r="254" s="86" customFormat="1" ht="48" outlineLevel="2" spans="1:15">
      <c r="A254" s="103">
        <f t="shared" si="40"/>
        <v>5</v>
      </c>
      <c r="B254" s="105" t="s">
        <v>82</v>
      </c>
      <c r="C254" s="106" t="s">
        <v>83</v>
      </c>
      <c r="D254" s="105" t="s">
        <v>58</v>
      </c>
      <c r="E254" s="101">
        <v>0.252</v>
      </c>
      <c r="F254" s="101"/>
      <c r="G254" s="101"/>
      <c r="H254" s="101"/>
      <c r="I254" s="27">
        <f t="shared" si="41"/>
        <v>0</v>
      </c>
      <c r="J254" s="28">
        <f t="shared" si="42"/>
        <v>0</v>
      </c>
      <c r="K254" s="29">
        <f t="shared" si="43"/>
        <v>0</v>
      </c>
      <c r="L254" s="96"/>
      <c r="M254" s="86">
        <v>1</v>
      </c>
    </row>
    <row r="255" s="86" customFormat="1" ht="48" outlineLevel="2" spans="1:15">
      <c r="A255" s="103">
        <f t="shared" si="40"/>
        <v>6</v>
      </c>
      <c r="B255" s="105" t="s">
        <v>86</v>
      </c>
      <c r="C255" s="106" t="s">
        <v>87</v>
      </c>
      <c r="D255" s="105" t="s">
        <v>65</v>
      </c>
      <c r="E255" s="101">
        <v>16.297</v>
      </c>
      <c r="F255" s="101"/>
      <c r="G255" s="101"/>
      <c r="H255" s="101"/>
      <c r="I255" s="27">
        <f t="shared" si="41"/>
        <v>0</v>
      </c>
      <c r="J255" s="28">
        <f t="shared" si="42"/>
        <v>0</v>
      </c>
      <c r="K255" s="29">
        <f t="shared" si="43"/>
        <v>0</v>
      </c>
      <c r="L255" s="96"/>
      <c r="M255" s="86">
        <v>1</v>
      </c>
    </row>
    <row r="256" s="86" customFormat="1" ht="36" outlineLevel="2" spans="1:15">
      <c r="A256" s="103">
        <f t="shared" si="40"/>
        <v>7</v>
      </c>
      <c r="B256" s="105" t="s">
        <v>88</v>
      </c>
      <c r="C256" s="106" t="s">
        <v>89</v>
      </c>
      <c r="D256" s="105" t="s">
        <v>65</v>
      </c>
      <c r="E256" s="101">
        <f>0.17*2</f>
        <v>0.34</v>
      </c>
      <c r="F256" s="101"/>
      <c r="G256" s="101"/>
      <c r="H256" s="101"/>
      <c r="I256" s="27">
        <f t="shared" si="41"/>
        <v>0</v>
      </c>
      <c r="J256" s="28">
        <f t="shared" si="42"/>
        <v>0</v>
      </c>
      <c r="K256" s="29">
        <f t="shared" si="43"/>
        <v>0</v>
      </c>
      <c r="L256" s="96"/>
      <c r="M256" s="86">
        <v>1</v>
      </c>
    </row>
    <row r="257" s="86" customFormat="1" ht="48" outlineLevel="2" spans="1:15">
      <c r="A257" s="103">
        <f t="shared" si="40"/>
        <v>8</v>
      </c>
      <c r="B257" s="105" t="s">
        <v>92</v>
      </c>
      <c r="C257" s="106" t="s">
        <v>93</v>
      </c>
      <c r="D257" s="105" t="s">
        <v>65</v>
      </c>
      <c r="E257" s="101">
        <v>14.44</v>
      </c>
      <c r="F257" s="101"/>
      <c r="G257" s="101"/>
      <c r="H257" s="101"/>
      <c r="I257" s="27">
        <f t="shared" si="41"/>
        <v>0</v>
      </c>
      <c r="J257" s="28">
        <f t="shared" si="42"/>
        <v>0</v>
      </c>
      <c r="K257" s="29">
        <f t="shared" si="43"/>
        <v>0</v>
      </c>
      <c r="L257" s="96"/>
      <c r="M257" s="86">
        <v>1</v>
      </c>
    </row>
    <row r="258" s="86" customFormat="1" ht="48" outlineLevel="2" spans="1:15">
      <c r="A258" s="103">
        <f t="shared" si="40"/>
        <v>9</v>
      </c>
      <c r="B258" s="105" t="s">
        <v>94</v>
      </c>
      <c r="C258" s="106" t="s">
        <v>95</v>
      </c>
      <c r="D258" s="105" t="s">
        <v>65</v>
      </c>
      <c r="E258" s="101">
        <v>16.113</v>
      </c>
      <c r="F258" s="101"/>
      <c r="G258" s="101"/>
      <c r="H258" s="101"/>
      <c r="I258" s="27">
        <f t="shared" si="41"/>
        <v>0</v>
      </c>
      <c r="J258" s="28">
        <f t="shared" si="42"/>
        <v>0</v>
      </c>
      <c r="K258" s="29">
        <f t="shared" si="43"/>
        <v>0</v>
      </c>
      <c r="L258" s="96"/>
      <c r="M258" s="86">
        <v>1</v>
      </c>
    </row>
    <row r="259" s="86" customFormat="1" ht="24" customHeight="1" outlineLevel="1" spans="1:15">
      <c r="A259" s="97"/>
      <c r="B259" s="98" t="s">
        <v>96</v>
      </c>
      <c r="C259" s="99"/>
      <c r="D259" s="100"/>
      <c r="E259" s="101"/>
      <c r="F259" s="101"/>
      <c r="G259" s="101"/>
      <c r="H259" s="101"/>
      <c r="I259" s="101"/>
      <c r="J259" s="101"/>
      <c r="K259" s="102"/>
      <c r="L259" s="96"/>
    </row>
    <row r="260" s="86" customFormat="1" ht="96" outlineLevel="2" spans="1:15">
      <c r="A260" s="103">
        <f>1+N(A259)</f>
        <v>1</v>
      </c>
      <c r="B260" s="98" t="s">
        <v>97</v>
      </c>
      <c r="C260" s="108" t="s">
        <v>98</v>
      </c>
      <c r="D260" s="100" t="s">
        <v>58</v>
      </c>
      <c r="E260" s="101">
        <v>20.4</v>
      </c>
      <c r="F260" s="101"/>
      <c r="G260" s="101"/>
      <c r="H260" s="101"/>
      <c r="I260" s="27">
        <f>(F260+G260+H260)*$I$3</f>
        <v>0</v>
      </c>
      <c r="J260" s="28">
        <f>ROUND(SUM(F260:I260),2)</f>
        <v>0</v>
      </c>
      <c r="K260" s="29">
        <f>ROUND(J260*E260,2)</f>
        <v>0</v>
      </c>
      <c r="L260" s="96"/>
      <c r="M260" s="86">
        <v>1</v>
      </c>
    </row>
    <row r="261" s="86" customFormat="1" ht="48" outlineLevel="2" spans="1:15">
      <c r="A261" s="103">
        <f>1+N(A260)</f>
        <v>2</v>
      </c>
      <c r="B261" s="98" t="s">
        <v>99</v>
      </c>
      <c r="C261" s="108" t="s">
        <v>100</v>
      </c>
      <c r="D261" s="100" t="s">
        <v>65</v>
      </c>
      <c r="E261" s="101">
        <v>12.63</v>
      </c>
      <c r="F261" s="101"/>
      <c r="G261" s="101"/>
      <c r="H261" s="101"/>
      <c r="I261" s="27">
        <f>(F261+G261+H261)*$I$3</f>
        <v>0</v>
      </c>
      <c r="J261" s="28">
        <f>ROUND(SUM(F261:I261),2)</f>
        <v>0</v>
      </c>
      <c r="K261" s="29">
        <f>ROUND(J261*E261,2)</f>
        <v>0</v>
      </c>
      <c r="L261" s="96"/>
      <c r="M261" s="86">
        <v>1</v>
      </c>
    </row>
    <row r="262" s="86" customFormat="1" ht="48" outlineLevel="2" spans="1:15">
      <c r="A262" s="103">
        <f>1+N(A261)</f>
        <v>3</v>
      </c>
      <c r="B262" s="98" t="s">
        <v>101</v>
      </c>
      <c r="C262" s="108" t="s">
        <v>102</v>
      </c>
      <c r="D262" s="100" t="s">
        <v>65</v>
      </c>
      <c r="E262" s="101">
        <v>12.63</v>
      </c>
      <c r="F262" s="101"/>
      <c r="G262" s="101"/>
      <c r="H262" s="101"/>
      <c r="I262" s="27">
        <f>(F262+G262+H262)*$I$3</f>
        <v>0</v>
      </c>
      <c r="J262" s="28">
        <f>ROUND(SUM(F262:I262),2)</f>
        <v>0</v>
      </c>
      <c r="K262" s="29">
        <f>ROUND(J262*E262,2)</f>
        <v>0</v>
      </c>
      <c r="L262" s="96"/>
      <c r="M262" s="86">
        <v>1</v>
      </c>
    </row>
    <row r="263" s="86" customFormat="1" ht="72" customHeight="1" outlineLevel="2" spans="1:15">
      <c r="A263" s="103">
        <f>1+N(A262)</f>
        <v>4</v>
      </c>
      <c r="B263" s="98" t="s">
        <v>105</v>
      </c>
      <c r="C263" s="108" t="s">
        <v>106</v>
      </c>
      <c r="D263" s="100" t="s">
        <v>58</v>
      </c>
      <c r="E263" s="101">
        <f>20.4+12.63*0.3</f>
        <v>24.189</v>
      </c>
      <c r="F263" s="101"/>
      <c r="G263" s="101"/>
      <c r="H263" s="101"/>
      <c r="I263" s="27">
        <f>(F263+G263+H263)*$I$3</f>
        <v>0</v>
      </c>
      <c r="J263" s="28">
        <f>ROUND(SUM(F263:I263),2)</f>
        <v>0</v>
      </c>
      <c r="K263" s="29">
        <f>ROUND(J263*E263,2)</f>
        <v>0</v>
      </c>
      <c r="L263" s="96"/>
      <c r="M263" s="86">
        <v>1</v>
      </c>
    </row>
    <row r="264" s="86" customFormat="1" ht="24" customHeight="1" outlineLevel="1" spans="1:15">
      <c r="A264" s="97"/>
      <c r="B264" s="98" t="s">
        <v>107</v>
      </c>
      <c r="C264" s="99"/>
      <c r="D264" s="100"/>
      <c r="E264" s="101"/>
      <c r="F264" s="101"/>
      <c r="G264" s="101"/>
      <c r="H264" s="101"/>
      <c r="I264" s="101"/>
      <c r="J264" s="101"/>
      <c r="K264" s="102"/>
      <c r="L264" s="96"/>
    </row>
    <row r="265" s="86" customFormat="1" ht="36" outlineLevel="2" spans="1:15">
      <c r="A265" s="103">
        <f>1+N(A264)</f>
        <v>1</v>
      </c>
      <c r="B265" s="98" t="s">
        <v>121</v>
      </c>
      <c r="C265" s="99" t="s">
        <v>109</v>
      </c>
      <c r="D265" s="100" t="s">
        <v>58</v>
      </c>
      <c r="E265" s="101">
        <f>0.7*3</f>
        <v>2.1</v>
      </c>
      <c r="F265" s="101"/>
      <c r="G265" s="101"/>
      <c r="H265" s="101"/>
      <c r="I265" s="27">
        <f>(F265+G265+H265)*$I$3</f>
        <v>0</v>
      </c>
      <c r="J265" s="28">
        <f>ROUND(SUM(F265:I265),2)</f>
        <v>0</v>
      </c>
      <c r="K265" s="29">
        <f>ROUND(J265*E265,2)</f>
        <v>0</v>
      </c>
      <c r="L265" s="96"/>
      <c r="M265" s="86">
        <v>1</v>
      </c>
    </row>
    <row r="266" s="86" customFormat="1" ht="72" outlineLevel="2" spans="1:15">
      <c r="A266" s="103">
        <f>1+N(A265)</f>
        <v>2</v>
      </c>
      <c r="B266" s="98" t="s">
        <v>110</v>
      </c>
      <c r="C266" s="106" t="s">
        <v>111</v>
      </c>
      <c r="D266" s="100" t="s">
        <v>58</v>
      </c>
      <c r="E266" s="101">
        <f>2*3</f>
        <v>6</v>
      </c>
      <c r="F266" s="101"/>
      <c r="G266" s="101"/>
      <c r="H266" s="101"/>
      <c r="I266" s="27">
        <f>(F266+G266+H266)*$I$3</f>
        <v>0</v>
      </c>
      <c r="J266" s="28">
        <f>ROUND(SUM(F266:I266),2)</f>
        <v>0</v>
      </c>
      <c r="K266" s="29">
        <f>ROUND(J266*E266,2)</f>
        <v>0</v>
      </c>
      <c r="L266" s="96"/>
      <c r="M266" s="86">
        <v>1</v>
      </c>
    </row>
    <row r="267" s="86" customFormat="1" ht="36" outlineLevel="2" spans="1:15">
      <c r="A267" s="103">
        <f>1+N(A266)</f>
        <v>3</v>
      </c>
      <c r="B267" s="105" t="s">
        <v>112</v>
      </c>
      <c r="C267" s="106" t="s">
        <v>113</v>
      </c>
      <c r="D267" s="105" t="s">
        <v>58</v>
      </c>
      <c r="E267" s="101">
        <f>1.45*3</f>
        <v>4.35</v>
      </c>
      <c r="F267" s="101"/>
      <c r="G267" s="101"/>
      <c r="H267" s="101"/>
      <c r="I267" s="27">
        <f>(F267+G267+H267)*$I$3</f>
        <v>0</v>
      </c>
      <c r="J267" s="28">
        <f>ROUND(SUM(F267:I267),2)</f>
        <v>0</v>
      </c>
      <c r="K267" s="29">
        <f>ROUND(J267*E267,2)</f>
        <v>0</v>
      </c>
      <c r="L267" s="96"/>
      <c r="M267" s="86">
        <v>1</v>
      </c>
    </row>
    <row r="268" s="86" customFormat="1" ht="24" customHeight="1" outlineLevel="1" spans="1:15">
      <c r="A268" s="92" t="s">
        <v>144</v>
      </c>
      <c r="B268" s="93" t="s">
        <v>201</v>
      </c>
      <c r="C268" s="93"/>
      <c r="D268" s="94"/>
      <c r="E268" s="95"/>
      <c r="F268" s="95"/>
      <c r="G268" s="95"/>
      <c r="H268" s="95"/>
      <c r="I268" s="95"/>
      <c r="J268" s="95"/>
      <c r="K268" s="23"/>
      <c r="L268" s="96"/>
      <c r="O268" s="112" t="str">
        <f>_xlfn.DISPIMG("ID_F477314AC07043CF9B2F8F752891D249",1)</f>
        <v>=DISPIMG("ID_F477314AC07043CF9B2F8F752891D249",1)</v>
      </c>
    </row>
    <row r="269" s="86" customFormat="1" ht="24" customHeight="1" outlineLevel="1" spans="1:15">
      <c r="A269" s="97"/>
      <c r="B269" s="98" t="s">
        <v>55</v>
      </c>
      <c r="C269" s="99"/>
      <c r="D269" s="100"/>
      <c r="E269" s="101"/>
      <c r="F269" s="101"/>
      <c r="G269" s="101"/>
      <c r="H269" s="101"/>
      <c r="I269" s="101"/>
      <c r="J269" s="101"/>
      <c r="K269" s="102"/>
      <c r="L269" s="96"/>
    </row>
    <row r="270" s="86" customFormat="1" ht="96" outlineLevel="2" spans="1:15">
      <c r="A270" s="103">
        <f>1+N(A269)</f>
        <v>1</v>
      </c>
      <c r="B270" s="98" t="s">
        <v>56</v>
      </c>
      <c r="C270" s="99" t="s">
        <v>57</v>
      </c>
      <c r="D270" s="100" t="s">
        <v>58</v>
      </c>
      <c r="E270" s="101">
        <v>46.2</v>
      </c>
      <c r="F270" s="101"/>
      <c r="G270" s="101"/>
      <c r="H270" s="27"/>
      <c r="I270" s="27">
        <f>(F270+G270+H270)*$I$3</f>
        <v>0</v>
      </c>
      <c r="J270" s="28">
        <f>ROUND(SUM(F270:I270),2)</f>
        <v>0</v>
      </c>
      <c r="K270" s="29">
        <f>ROUND(J270*E270,2)</f>
        <v>0</v>
      </c>
      <c r="L270" s="96"/>
      <c r="M270" s="86">
        <v>1</v>
      </c>
    </row>
    <row r="271" s="86" customFormat="1" ht="108" outlineLevel="2" spans="1:15">
      <c r="A271" s="103">
        <f>1+N(A270)</f>
        <v>2</v>
      </c>
      <c r="B271" s="98" t="s">
        <v>116</v>
      </c>
      <c r="C271" s="99" t="s">
        <v>117</v>
      </c>
      <c r="D271" s="100" t="s">
        <v>58</v>
      </c>
      <c r="E271" s="101">
        <v>41.1</v>
      </c>
      <c r="F271" s="101"/>
      <c r="G271" s="101"/>
      <c r="H271" s="101"/>
      <c r="I271" s="27">
        <f>(F271+G271+H271)*$I$3</f>
        <v>0</v>
      </c>
      <c r="J271" s="28">
        <f>ROUND(SUM(F271:I271),2)</f>
        <v>0</v>
      </c>
      <c r="K271" s="29">
        <f>ROUND(J271*E271,2)</f>
        <v>0</v>
      </c>
      <c r="L271" s="96"/>
      <c r="M271" s="86">
        <v>1</v>
      </c>
    </row>
    <row r="272" s="86" customFormat="1" ht="36" outlineLevel="2" spans="1:15">
      <c r="A272" s="103">
        <f>1+N(A271)</f>
        <v>3</v>
      </c>
      <c r="B272" s="98" t="s">
        <v>63</v>
      </c>
      <c r="C272" s="99" t="s">
        <v>64</v>
      </c>
      <c r="D272" s="100" t="s">
        <v>65</v>
      </c>
      <c r="E272" s="101">
        <v>24.96</v>
      </c>
      <c r="F272" s="101"/>
      <c r="G272" s="101"/>
      <c r="H272" s="101"/>
      <c r="I272" s="27">
        <f>(F272+G272+H272)*$I$3</f>
        <v>0</v>
      </c>
      <c r="J272" s="28">
        <f>ROUND(SUM(F272:I272),2)</f>
        <v>0</v>
      </c>
      <c r="K272" s="29">
        <f>ROUND(J272*E272,2)</f>
        <v>0</v>
      </c>
      <c r="L272" s="96"/>
      <c r="M272" s="86">
        <v>1</v>
      </c>
    </row>
    <row r="273" s="86" customFormat="1" ht="48" outlineLevel="2" spans="1:13">
      <c r="A273" s="103">
        <f>1+N(A272)</f>
        <v>4</v>
      </c>
      <c r="B273" s="98" t="s">
        <v>66</v>
      </c>
      <c r="C273" s="99" t="s">
        <v>67</v>
      </c>
      <c r="D273" s="100" t="s">
        <v>58</v>
      </c>
      <c r="E273" s="101">
        <v>87.3</v>
      </c>
      <c r="F273" s="101"/>
      <c r="G273" s="101"/>
      <c r="H273" s="101"/>
      <c r="I273" s="27">
        <f>(F273+G273+H273)*$I$3</f>
        <v>0</v>
      </c>
      <c r="J273" s="28">
        <f>ROUND(SUM(F273:I273),2)</f>
        <v>0</v>
      </c>
      <c r="K273" s="29">
        <f>ROUND(J273*E273,2)</f>
        <v>0</v>
      </c>
      <c r="L273" s="96"/>
      <c r="M273" s="86">
        <v>1</v>
      </c>
    </row>
    <row r="274" s="86" customFormat="1" ht="24" customHeight="1" outlineLevel="1" spans="1:13">
      <c r="A274" s="97"/>
      <c r="B274" s="98" t="s">
        <v>68</v>
      </c>
      <c r="C274" s="99"/>
      <c r="D274" s="100"/>
      <c r="E274" s="101"/>
      <c r="F274" s="101"/>
      <c r="G274" s="101"/>
      <c r="H274" s="101"/>
      <c r="I274" s="101"/>
      <c r="J274" s="101"/>
      <c r="K274" s="102"/>
      <c r="L274" s="96"/>
    </row>
    <row r="275" s="86" customFormat="1" ht="72" outlineLevel="2" spans="1:13">
      <c r="A275" s="103">
        <f t="shared" ref="A275:A280" si="44">1+N(A274)</f>
        <v>1</v>
      </c>
      <c r="B275" s="104" t="s">
        <v>69</v>
      </c>
      <c r="C275" s="99" t="s">
        <v>70</v>
      </c>
      <c r="D275" s="100" t="s">
        <v>58</v>
      </c>
      <c r="E275" s="101">
        <v>18.676</v>
      </c>
      <c r="F275" s="101"/>
      <c r="G275" s="101"/>
      <c r="H275" s="101"/>
      <c r="I275" s="27">
        <f t="shared" ref="I275:I280" si="45">(F275+G275+H275)*$I$3</f>
        <v>0</v>
      </c>
      <c r="J275" s="28">
        <f t="shared" ref="J275:J280" si="46">ROUND(SUM(F275:I275),2)</f>
        <v>0</v>
      </c>
      <c r="K275" s="29">
        <f t="shared" ref="K275:K280" si="47">ROUND(J275*E275,2)</f>
        <v>0</v>
      </c>
      <c r="L275" s="96"/>
      <c r="M275" s="86">
        <v>1</v>
      </c>
    </row>
    <row r="276" s="86" customFormat="1" ht="96" outlineLevel="2" spans="1:13">
      <c r="A276" s="103">
        <f t="shared" si="44"/>
        <v>2</v>
      </c>
      <c r="B276" s="105" t="s">
        <v>71</v>
      </c>
      <c r="C276" s="106" t="s">
        <v>72</v>
      </c>
      <c r="D276" s="100" t="s">
        <v>58</v>
      </c>
      <c r="E276" s="101">
        <v>74.889</v>
      </c>
      <c r="F276" s="101"/>
      <c r="G276" s="101"/>
      <c r="H276" s="101"/>
      <c r="I276" s="27">
        <f t="shared" si="45"/>
        <v>0</v>
      </c>
      <c r="J276" s="28">
        <f t="shared" si="46"/>
        <v>0</v>
      </c>
      <c r="K276" s="29">
        <f t="shared" si="47"/>
        <v>0</v>
      </c>
      <c r="L276" s="96"/>
      <c r="M276" s="86">
        <v>1</v>
      </c>
    </row>
    <row r="277" s="86" customFormat="1" ht="72" outlineLevel="2" spans="1:13">
      <c r="A277" s="103">
        <f t="shared" si="44"/>
        <v>3</v>
      </c>
      <c r="B277" s="105" t="s">
        <v>75</v>
      </c>
      <c r="C277" s="106" t="s">
        <v>76</v>
      </c>
      <c r="D277" s="105" t="s">
        <v>58</v>
      </c>
      <c r="E277" s="101">
        <v>18.707</v>
      </c>
      <c r="F277" s="101"/>
      <c r="G277" s="101"/>
      <c r="H277" s="101"/>
      <c r="I277" s="27">
        <f t="shared" si="45"/>
        <v>0</v>
      </c>
      <c r="J277" s="28">
        <f t="shared" si="46"/>
        <v>0</v>
      </c>
      <c r="K277" s="29">
        <f t="shared" si="47"/>
        <v>0</v>
      </c>
      <c r="L277" s="96"/>
      <c r="M277" s="86">
        <v>1</v>
      </c>
    </row>
    <row r="278" s="86" customFormat="1" ht="48" outlineLevel="2" spans="1:13">
      <c r="A278" s="103">
        <f t="shared" si="44"/>
        <v>4</v>
      </c>
      <c r="B278" s="105" t="s">
        <v>86</v>
      </c>
      <c r="C278" s="106" t="s">
        <v>87</v>
      </c>
      <c r="D278" s="105" t="s">
        <v>65</v>
      </c>
      <c r="E278" s="101">
        <v>37.67</v>
      </c>
      <c r="F278" s="101"/>
      <c r="G278" s="101"/>
      <c r="H278" s="101"/>
      <c r="I278" s="27">
        <f t="shared" si="45"/>
        <v>0</v>
      </c>
      <c r="J278" s="28">
        <f t="shared" si="46"/>
        <v>0</v>
      </c>
      <c r="K278" s="29">
        <f t="shared" si="47"/>
        <v>0</v>
      </c>
      <c r="L278" s="96"/>
      <c r="M278" s="86">
        <v>1</v>
      </c>
    </row>
    <row r="279" s="86" customFormat="1" ht="48" outlineLevel="2" spans="1:13">
      <c r="A279" s="103">
        <f t="shared" si="44"/>
        <v>5</v>
      </c>
      <c r="B279" s="105" t="s">
        <v>92</v>
      </c>
      <c r="C279" s="106" t="s">
        <v>93</v>
      </c>
      <c r="D279" s="105" t="s">
        <v>65</v>
      </c>
      <c r="E279" s="101">
        <v>37.67</v>
      </c>
      <c r="F279" s="101"/>
      <c r="G279" s="101"/>
      <c r="H279" s="101"/>
      <c r="I279" s="27">
        <f t="shared" si="45"/>
        <v>0</v>
      </c>
      <c r="J279" s="28">
        <f t="shared" si="46"/>
        <v>0</v>
      </c>
      <c r="K279" s="29">
        <f t="shared" si="47"/>
        <v>0</v>
      </c>
      <c r="L279" s="96"/>
      <c r="M279" s="86">
        <v>1</v>
      </c>
    </row>
    <row r="280" s="86" customFormat="1" ht="48" outlineLevel="2" spans="1:13">
      <c r="A280" s="103">
        <f t="shared" si="44"/>
        <v>6</v>
      </c>
      <c r="B280" s="105" t="s">
        <v>94</v>
      </c>
      <c r="C280" s="106" t="s">
        <v>95</v>
      </c>
      <c r="D280" s="105" t="s">
        <v>65</v>
      </c>
      <c r="E280" s="101">
        <v>38.87</v>
      </c>
      <c r="F280" s="101"/>
      <c r="G280" s="101"/>
      <c r="H280" s="101"/>
      <c r="I280" s="27">
        <f t="shared" si="45"/>
        <v>0</v>
      </c>
      <c r="J280" s="28">
        <f t="shared" si="46"/>
        <v>0</v>
      </c>
      <c r="K280" s="29">
        <f t="shared" si="47"/>
        <v>0</v>
      </c>
      <c r="L280" s="96"/>
      <c r="M280" s="86">
        <v>1</v>
      </c>
    </row>
    <row r="281" s="86" customFormat="1" ht="24" customHeight="1" outlineLevel="1" spans="1:13">
      <c r="A281" s="97"/>
      <c r="B281" s="98" t="s">
        <v>96</v>
      </c>
      <c r="C281" s="99"/>
      <c r="D281" s="100"/>
      <c r="E281" s="101"/>
      <c r="F281" s="101"/>
      <c r="G281" s="101"/>
      <c r="H281" s="101"/>
      <c r="I281" s="101"/>
      <c r="J281" s="101"/>
      <c r="K281" s="102"/>
      <c r="L281" s="96"/>
    </row>
    <row r="282" s="86" customFormat="1" ht="96" outlineLevel="2" spans="1:13">
      <c r="A282" s="103">
        <f>1+N(A281)</f>
        <v>1</v>
      </c>
      <c r="B282" s="98" t="s">
        <v>97</v>
      </c>
      <c r="C282" s="108" t="s">
        <v>98</v>
      </c>
      <c r="D282" s="100" t="s">
        <v>58</v>
      </c>
      <c r="E282" s="101">
        <f>87.3-35.84</f>
        <v>51.46</v>
      </c>
      <c r="F282" s="101"/>
      <c r="G282" s="101"/>
      <c r="H282" s="101"/>
      <c r="I282" s="27">
        <f>(F282+G282+H282)*$I$3</f>
        <v>0</v>
      </c>
      <c r="J282" s="28">
        <f>ROUND(SUM(F282:I282),2)</f>
        <v>0</v>
      </c>
      <c r="K282" s="29">
        <f>ROUND(J282*E282,2)</f>
        <v>0</v>
      </c>
      <c r="L282" s="96"/>
      <c r="M282" s="86">
        <v>1</v>
      </c>
    </row>
    <row r="283" s="86" customFormat="1" ht="108" outlineLevel="2" spans="1:13">
      <c r="A283" s="103">
        <f>1+N(A282)</f>
        <v>2</v>
      </c>
      <c r="B283" s="98" t="s">
        <v>118</v>
      </c>
      <c r="C283" s="108" t="s">
        <v>119</v>
      </c>
      <c r="D283" s="100" t="s">
        <v>58</v>
      </c>
      <c r="E283" s="101">
        <v>35.84</v>
      </c>
      <c r="F283" s="101"/>
      <c r="G283" s="101"/>
      <c r="H283" s="101"/>
      <c r="I283" s="27">
        <f>(F283+G283+H283)*$I$3</f>
        <v>0</v>
      </c>
      <c r="J283" s="28">
        <f>ROUND(SUM(F283:I283),2)</f>
        <v>0</v>
      </c>
      <c r="K283" s="29">
        <f>ROUND(J283*E283,2)</f>
        <v>0</v>
      </c>
      <c r="L283" s="96"/>
      <c r="M283" s="86">
        <v>1</v>
      </c>
    </row>
    <row r="284" s="86" customFormat="1" ht="48" outlineLevel="2" spans="1:13">
      <c r="A284" s="103">
        <f>1+N(A283)</f>
        <v>3</v>
      </c>
      <c r="B284" s="98" t="s">
        <v>99</v>
      </c>
      <c r="C284" s="108" t="s">
        <v>100</v>
      </c>
      <c r="D284" s="100" t="s">
        <v>65</v>
      </c>
      <c r="E284" s="101">
        <v>75.58</v>
      </c>
      <c r="F284" s="101"/>
      <c r="G284" s="101"/>
      <c r="H284" s="101"/>
      <c r="I284" s="27">
        <f>(F284+G284+H284)*$I$3</f>
        <v>0</v>
      </c>
      <c r="J284" s="28">
        <f>ROUND(SUM(F284:I284),2)</f>
        <v>0</v>
      </c>
      <c r="K284" s="29">
        <f>ROUND(J284*E284,2)</f>
        <v>0</v>
      </c>
      <c r="L284" s="96"/>
      <c r="M284" s="86">
        <v>1</v>
      </c>
    </row>
    <row r="285" s="86" customFormat="1" ht="48" outlineLevel="2" spans="1:13">
      <c r="A285" s="103">
        <f>1+N(A284)</f>
        <v>4</v>
      </c>
      <c r="B285" s="98" t="s">
        <v>101</v>
      </c>
      <c r="C285" s="108" t="s">
        <v>102</v>
      </c>
      <c r="D285" s="100" t="s">
        <v>65</v>
      </c>
      <c r="E285" s="101">
        <v>75.58</v>
      </c>
      <c r="F285" s="101"/>
      <c r="G285" s="101"/>
      <c r="H285" s="101"/>
      <c r="I285" s="27">
        <f>(F285+G285+H285)*$I$3</f>
        <v>0</v>
      </c>
      <c r="J285" s="28">
        <f>ROUND(SUM(F285:I285),2)</f>
        <v>0</v>
      </c>
      <c r="K285" s="29">
        <f>ROUND(J285*E285,2)</f>
        <v>0</v>
      </c>
      <c r="L285" s="96"/>
      <c r="M285" s="86">
        <v>1</v>
      </c>
    </row>
    <row r="286" s="86" customFormat="1" ht="72" customHeight="1" outlineLevel="2" spans="1:13">
      <c r="A286" s="103">
        <f>1+N(A285)</f>
        <v>5</v>
      </c>
      <c r="B286" s="98" t="s">
        <v>105</v>
      </c>
      <c r="C286" s="108" t="s">
        <v>106</v>
      </c>
      <c r="D286" s="100" t="s">
        <v>58</v>
      </c>
      <c r="E286" s="101">
        <f>87.3+75.58*0.3</f>
        <v>109.974</v>
      </c>
      <c r="F286" s="101"/>
      <c r="G286" s="101"/>
      <c r="H286" s="101"/>
      <c r="I286" s="27">
        <f>(F286+G286+H286)*$I$3</f>
        <v>0</v>
      </c>
      <c r="J286" s="28">
        <f>ROUND(SUM(F286:I286),2)</f>
        <v>0</v>
      </c>
      <c r="K286" s="29">
        <f>ROUND(J286*E286,2)</f>
        <v>0</v>
      </c>
      <c r="L286" s="96"/>
      <c r="M286" s="86">
        <v>1</v>
      </c>
    </row>
    <row r="287" s="86" customFormat="1" ht="24" customHeight="1" outlineLevel="1" spans="1:13">
      <c r="A287" s="97"/>
      <c r="B287" s="98" t="s">
        <v>107</v>
      </c>
      <c r="C287" s="99"/>
      <c r="D287" s="100"/>
      <c r="E287" s="101"/>
      <c r="F287" s="101"/>
      <c r="G287" s="101"/>
      <c r="H287" s="101"/>
      <c r="I287" s="101"/>
      <c r="J287" s="101"/>
      <c r="K287" s="102"/>
      <c r="L287" s="96"/>
    </row>
    <row r="288" s="86" customFormat="1" ht="36" outlineLevel="2" spans="1:13">
      <c r="A288" s="103">
        <f>1+N(A287)</f>
        <v>1</v>
      </c>
      <c r="B288" s="98" t="s">
        <v>121</v>
      </c>
      <c r="C288" s="99" t="s">
        <v>109</v>
      </c>
      <c r="D288" s="100" t="s">
        <v>58</v>
      </c>
      <c r="E288" s="101">
        <f>0.7*3</f>
        <v>2.1</v>
      </c>
      <c r="F288" s="101"/>
      <c r="G288" s="101"/>
      <c r="H288" s="101"/>
      <c r="I288" s="27">
        <f>(F288+G288+H288)*$I$3</f>
        <v>0</v>
      </c>
      <c r="J288" s="28">
        <f>ROUND(SUM(F288:I288),2)</f>
        <v>0</v>
      </c>
      <c r="K288" s="29">
        <f>ROUND(J288*E288,2)</f>
        <v>0</v>
      </c>
      <c r="L288" s="96"/>
      <c r="M288" s="86">
        <v>1</v>
      </c>
    </row>
    <row r="289" s="86" customFormat="1" ht="24" customHeight="1" outlineLevel="1" spans="1:15">
      <c r="A289" s="92" t="s">
        <v>152</v>
      </c>
      <c r="B289" s="93" t="s">
        <v>202</v>
      </c>
      <c r="C289" s="93"/>
      <c r="D289" s="94"/>
      <c r="E289" s="95"/>
      <c r="F289" s="95"/>
      <c r="G289" s="95"/>
      <c r="H289" s="95"/>
      <c r="I289" s="95"/>
      <c r="J289" s="95"/>
      <c r="K289" s="23"/>
      <c r="L289" s="96"/>
      <c r="O289" s="112" t="str">
        <f>_xlfn.DISPIMG("ID_DA8056B476E24060850BD63660BA0158",1)</f>
        <v>=DISPIMG("ID_DA8056B476E24060850BD63660BA0158",1)</v>
      </c>
    </row>
    <row r="290" s="86" customFormat="1" ht="24" customHeight="1" outlineLevel="1" spans="1:15">
      <c r="A290" s="97"/>
      <c r="B290" s="98" t="s">
        <v>55</v>
      </c>
      <c r="C290" s="99"/>
      <c r="D290" s="100"/>
      <c r="E290" s="101"/>
      <c r="F290" s="101"/>
      <c r="G290" s="101"/>
      <c r="H290" s="101"/>
      <c r="I290" s="101"/>
      <c r="J290" s="101"/>
      <c r="K290" s="102"/>
      <c r="L290" s="96"/>
    </row>
    <row r="291" s="86" customFormat="1" ht="96" outlineLevel="2" spans="1:15">
      <c r="A291" s="103">
        <f>1+N(A290)</f>
        <v>1</v>
      </c>
      <c r="B291" s="98" t="s">
        <v>56</v>
      </c>
      <c r="C291" s="99" t="s">
        <v>57</v>
      </c>
      <c r="D291" s="100" t="s">
        <v>58</v>
      </c>
      <c r="E291" s="101">
        <v>0.52</v>
      </c>
      <c r="F291" s="101"/>
      <c r="G291" s="101"/>
      <c r="H291" s="27"/>
      <c r="I291" s="27">
        <f>(F291+G291+H291)*$I$3</f>
        <v>0</v>
      </c>
      <c r="J291" s="28">
        <f>ROUND(SUM(F291:I291),2)</f>
        <v>0</v>
      </c>
      <c r="K291" s="29">
        <f>ROUND(J291*E291,2)</f>
        <v>0</v>
      </c>
      <c r="L291" s="96"/>
      <c r="M291" s="86">
        <v>1</v>
      </c>
    </row>
    <row r="292" s="86" customFormat="1" ht="96" outlineLevel="2" spans="1:15">
      <c r="A292" s="103">
        <f>1+N(A291)</f>
        <v>2</v>
      </c>
      <c r="B292" s="98" t="s">
        <v>61</v>
      </c>
      <c r="C292" s="99" t="s">
        <v>62</v>
      </c>
      <c r="D292" s="100" t="s">
        <v>58</v>
      </c>
      <c r="E292" s="101">
        <v>2.42</v>
      </c>
      <c r="F292" s="101"/>
      <c r="G292" s="101"/>
      <c r="H292" s="27"/>
      <c r="I292" s="27">
        <f>(F292+G292+H292)*$I$3</f>
        <v>0</v>
      </c>
      <c r="J292" s="28">
        <f>ROUND(SUM(F292:I292),2)</f>
        <v>0</v>
      </c>
      <c r="K292" s="29">
        <f>ROUND(J292*E292,2)</f>
        <v>0</v>
      </c>
      <c r="L292" s="96"/>
      <c r="M292" s="86">
        <v>1</v>
      </c>
    </row>
    <row r="293" s="86" customFormat="1" ht="48" outlineLevel="2" spans="1:15">
      <c r="A293" s="103">
        <f>1+N(A292)</f>
        <v>3</v>
      </c>
      <c r="B293" s="98" t="s">
        <v>66</v>
      </c>
      <c r="C293" s="99" t="s">
        <v>67</v>
      </c>
      <c r="D293" s="100" t="s">
        <v>58</v>
      </c>
      <c r="E293" s="101">
        <v>0.52</v>
      </c>
      <c r="F293" s="101"/>
      <c r="G293" s="101"/>
      <c r="H293" s="101"/>
      <c r="I293" s="27">
        <f>(F293+G293+H293)*$I$3</f>
        <v>0</v>
      </c>
      <c r="J293" s="28">
        <f>ROUND(SUM(F293:I293),2)</f>
        <v>0</v>
      </c>
      <c r="K293" s="29">
        <f>ROUND(J293*E293,2)</f>
        <v>0</v>
      </c>
      <c r="L293" s="96"/>
      <c r="M293" s="86">
        <v>1</v>
      </c>
    </row>
    <row r="294" s="86" customFormat="1" ht="24" customHeight="1" outlineLevel="1" spans="1:15">
      <c r="A294" s="97"/>
      <c r="B294" s="98" t="s">
        <v>68</v>
      </c>
      <c r="C294" s="99"/>
      <c r="D294" s="100"/>
      <c r="E294" s="101"/>
      <c r="F294" s="101"/>
      <c r="G294" s="101"/>
      <c r="H294" s="101"/>
      <c r="I294" s="101"/>
      <c r="J294" s="101"/>
      <c r="K294" s="102"/>
      <c r="L294" s="96"/>
    </row>
    <row r="295" s="86" customFormat="1" ht="72" outlineLevel="2" spans="1:15">
      <c r="A295" s="103">
        <f>1+N(A294)</f>
        <v>1</v>
      </c>
      <c r="B295" s="105" t="s">
        <v>75</v>
      </c>
      <c r="C295" s="106" t="s">
        <v>76</v>
      </c>
      <c r="D295" s="105" t="s">
        <v>58</v>
      </c>
      <c r="E295" s="101">
        <v>11.653</v>
      </c>
      <c r="F295" s="101"/>
      <c r="G295" s="101"/>
      <c r="H295" s="101"/>
      <c r="I295" s="27">
        <f>(F295+G295+H295)*$I$3</f>
        <v>0</v>
      </c>
      <c r="J295" s="28">
        <f>ROUND(SUM(F295:I295),2)</f>
        <v>0</v>
      </c>
      <c r="K295" s="29">
        <f>ROUND(J295*E295,2)</f>
        <v>0</v>
      </c>
      <c r="L295" s="96"/>
      <c r="M295" s="86">
        <v>1</v>
      </c>
    </row>
    <row r="296" s="86" customFormat="1" ht="48" outlineLevel="2" spans="1:15">
      <c r="A296" s="103">
        <f>1+N(A295)</f>
        <v>2</v>
      </c>
      <c r="B296" s="105" t="s">
        <v>139</v>
      </c>
      <c r="C296" s="106" t="s">
        <v>78</v>
      </c>
      <c r="D296" s="105" t="s">
        <v>58</v>
      </c>
      <c r="E296" s="101">
        <f>0.242*3*2+1.22*0.19</f>
        <v>1.6838</v>
      </c>
      <c r="F296" s="101"/>
      <c r="G296" s="101"/>
      <c r="H296" s="101"/>
      <c r="I296" s="27">
        <f>(F296+G296+H296)*$I$3</f>
        <v>0</v>
      </c>
      <c r="J296" s="28">
        <f>ROUND(SUM(F296:I296),2)</f>
        <v>0</v>
      </c>
      <c r="K296" s="29">
        <f>ROUND(J296*E296,2)</f>
        <v>0</v>
      </c>
      <c r="L296" s="96"/>
      <c r="M296" s="86">
        <v>1</v>
      </c>
    </row>
    <row r="297" s="86" customFormat="1" ht="48" outlineLevel="2" spans="1:15">
      <c r="A297" s="103">
        <f>1+N(A296)</f>
        <v>3</v>
      </c>
      <c r="B297" s="105" t="s">
        <v>86</v>
      </c>
      <c r="C297" s="106" t="s">
        <v>87</v>
      </c>
      <c r="D297" s="105" t="s">
        <v>65</v>
      </c>
      <c r="E297" s="101">
        <v>3.95</v>
      </c>
      <c r="F297" s="101"/>
      <c r="G297" s="101"/>
      <c r="H297" s="101"/>
      <c r="I297" s="27">
        <f>(F297+G297+H297)*$I$3</f>
        <v>0</v>
      </c>
      <c r="J297" s="28">
        <f>ROUND(SUM(F297:I297),2)</f>
        <v>0</v>
      </c>
      <c r="K297" s="29">
        <f>ROUND(J297*E297,2)</f>
        <v>0</v>
      </c>
      <c r="L297" s="96"/>
      <c r="M297" s="86">
        <v>1</v>
      </c>
    </row>
    <row r="298" s="86" customFormat="1" ht="48" outlineLevel="2" spans="1:15">
      <c r="A298" s="103">
        <f>1+N(A297)</f>
        <v>4</v>
      </c>
      <c r="B298" s="105" t="s">
        <v>92</v>
      </c>
      <c r="C298" s="106" t="s">
        <v>93</v>
      </c>
      <c r="D298" s="105" t="s">
        <v>65</v>
      </c>
      <c r="E298" s="101">
        <v>3.95</v>
      </c>
      <c r="F298" s="101"/>
      <c r="G298" s="101"/>
      <c r="H298" s="101"/>
      <c r="I298" s="27">
        <f>(F298+G298+H298)*$I$3</f>
        <v>0</v>
      </c>
      <c r="J298" s="28">
        <f>ROUND(SUM(F298:I298),2)</f>
        <v>0</v>
      </c>
      <c r="K298" s="29">
        <f>ROUND(J298*E298,2)</f>
        <v>0</v>
      </c>
      <c r="L298" s="96"/>
      <c r="M298" s="86">
        <v>1</v>
      </c>
    </row>
    <row r="299" s="86" customFormat="1" ht="48" outlineLevel="2" spans="1:15">
      <c r="A299" s="103">
        <f>1+N(A298)</f>
        <v>5</v>
      </c>
      <c r="B299" s="105" t="s">
        <v>94</v>
      </c>
      <c r="C299" s="106" t="s">
        <v>95</v>
      </c>
      <c r="D299" s="105" t="s">
        <v>65</v>
      </c>
      <c r="E299" s="101">
        <v>3.95</v>
      </c>
      <c r="F299" s="101"/>
      <c r="G299" s="101"/>
      <c r="H299" s="101"/>
      <c r="I299" s="27">
        <f>(F299+G299+H299)*$I$3</f>
        <v>0</v>
      </c>
      <c r="J299" s="28">
        <f>ROUND(SUM(F299:I299),2)</f>
        <v>0</v>
      </c>
      <c r="K299" s="29">
        <f>ROUND(J299*E299,2)</f>
        <v>0</v>
      </c>
      <c r="L299" s="96"/>
      <c r="M299" s="86">
        <v>1</v>
      </c>
    </row>
    <row r="300" s="86" customFormat="1" ht="24" customHeight="1" outlineLevel="1" spans="1:15">
      <c r="A300" s="97"/>
      <c r="B300" s="98" t="s">
        <v>96</v>
      </c>
      <c r="C300" s="99"/>
      <c r="D300" s="100"/>
      <c r="E300" s="101"/>
      <c r="F300" s="101"/>
      <c r="G300" s="101"/>
      <c r="H300" s="101"/>
      <c r="I300" s="101"/>
      <c r="J300" s="101"/>
      <c r="K300" s="102"/>
      <c r="L300" s="96"/>
    </row>
    <row r="301" s="86" customFormat="1" ht="96" outlineLevel="2" spans="1:15">
      <c r="A301" s="103">
        <f>1+N(A300)</f>
        <v>1</v>
      </c>
      <c r="B301" s="98" t="s">
        <v>97</v>
      </c>
      <c r="C301" s="108" t="s">
        <v>98</v>
      </c>
      <c r="D301" s="100" t="s">
        <v>58</v>
      </c>
      <c r="E301" s="101">
        <v>2.42</v>
      </c>
      <c r="F301" s="101"/>
      <c r="G301" s="101"/>
      <c r="H301" s="101"/>
      <c r="I301" s="27">
        <f>(F301+G301+H301)*$I$3</f>
        <v>0</v>
      </c>
      <c r="J301" s="28">
        <f>ROUND(SUM(F301:I301),2)</f>
        <v>0</v>
      </c>
      <c r="K301" s="29">
        <f>ROUND(J301*E301,2)</f>
        <v>0</v>
      </c>
      <c r="L301" s="96"/>
      <c r="M301" s="86">
        <v>1</v>
      </c>
    </row>
    <row r="302" s="86" customFormat="1" ht="72" customHeight="1" outlineLevel="2" spans="1:15">
      <c r="A302" s="103">
        <f>1+N(A301)</f>
        <v>2</v>
      </c>
      <c r="B302" s="98" t="s">
        <v>105</v>
      </c>
      <c r="C302" s="108" t="s">
        <v>106</v>
      </c>
      <c r="D302" s="100" t="s">
        <v>58</v>
      </c>
      <c r="E302" s="101">
        <v>2.42</v>
      </c>
      <c r="F302" s="101"/>
      <c r="G302" s="101"/>
      <c r="H302" s="101"/>
      <c r="I302" s="27">
        <f>(F302+G302+H302)*$I$3</f>
        <v>0</v>
      </c>
      <c r="J302" s="28">
        <f>ROUND(SUM(F302:I302),2)</f>
        <v>0</v>
      </c>
      <c r="K302" s="29">
        <f>ROUND(J302*E302,2)</f>
        <v>0</v>
      </c>
      <c r="L302" s="96"/>
      <c r="M302" s="86">
        <v>1</v>
      </c>
    </row>
    <row r="303" s="86" customFormat="1" ht="24" customHeight="1" outlineLevel="1" spans="1:15">
      <c r="A303" s="97"/>
      <c r="B303" s="98" t="s">
        <v>107</v>
      </c>
      <c r="C303" s="99"/>
      <c r="D303" s="100"/>
      <c r="E303" s="101"/>
      <c r="F303" s="101"/>
      <c r="G303" s="101"/>
      <c r="H303" s="101"/>
      <c r="I303" s="101"/>
      <c r="J303" s="101"/>
      <c r="K303" s="102"/>
      <c r="L303" s="96"/>
    </row>
    <row r="304" s="86" customFormat="1" ht="60" outlineLevel="2" spans="1:15">
      <c r="A304" s="103">
        <f>1+N(A303)</f>
        <v>1</v>
      </c>
      <c r="B304" s="98" t="s">
        <v>203</v>
      </c>
      <c r="C304" s="106" t="s">
        <v>204</v>
      </c>
      <c r="D304" s="100" t="s">
        <v>58</v>
      </c>
      <c r="E304" s="101">
        <f>1.24*3</f>
        <v>3.72</v>
      </c>
      <c r="F304" s="101"/>
      <c r="G304" s="101"/>
      <c r="H304" s="101"/>
      <c r="I304" s="27">
        <f>(F304+G304+H304)*$I$3</f>
        <v>0</v>
      </c>
      <c r="J304" s="28">
        <f>ROUND(SUM(F304:I304),2)</f>
        <v>0</v>
      </c>
      <c r="K304" s="29">
        <f>ROUND(J304*E304,2)</f>
        <v>0</v>
      </c>
      <c r="L304" s="96"/>
      <c r="M304" s="86">
        <v>1</v>
      </c>
    </row>
    <row r="305" s="86" customFormat="1" ht="24" customHeight="1" outlineLevel="1" spans="1:15">
      <c r="A305" s="92" t="s">
        <v>154</v>
      </c>
      <c r="B305" s="93" t="s">
        <v>205</v>
      </c>
      <c r="C305" s="93"/>
      <c r="D305" s="94"/>
      <c r="E305" s="95"/>
      <c r="F305" s="95"/>
      <c r="G305" s="95"/>
      <c r="H305" s="95"/>
      <c r="I305" s="95"/>
      <c r="J305" s="95"/>
      <c r="K305" s="23"/>
      <c r="L305" s="96"/>
      <c r="O305" s="112" t="str">
        <f>_xlfn.DISPIMG("ID_E365E80EDA8E47118816E377B5229A08",1)</f>
        <v>=DISPIMG("ID_E365E80EDA8E47118816E377B5229A08",1)</v>
      </c>
    </row>
    <row r="306" s="86" customFormat="1" ht="24" customHeight="1" outlineLevel="1" spans="1:15">
      <c r="A306" s="97"/>
      <c r="B306" s="98" t="s">
        <v>55</v>
      </c>
      <c r="C306" s="99"/>
      <c r="D306" s="100"/>
      <c r="E306" s="101"/>
      <c r="F306" s="101"/>
      <c r="G306" s="101"/>
      <c r="H306" s="101"/>
      <c r="I306" s="101"/>
      <c r="J306" s="101"/>
      <c r="K306" s="102"/>
      <c r="L306" s="96"/>
    </row>
    <row r="307" s="86" customFormat="1" ht="96" outlineLevel="2" spans="1:15">
      <c r="A307" s="103">
        <f>1+N(A306)</f>
        <v>1</v>
      </c>
      <c r="B307" s="98" t="s">
        <v>56</v>
      </c>
      <c r="C307" s="99" t="s">
        <v>57</v>
      </c>
      <c r="D307" s="100" t="s">
        <v>58</v>
      </c>
      <c r="E307" s="101">
        <v>16.8</v>
      </c>
      <c r="F307" s="101"/>
      <c r="G307" s="101"/>
      <c r="H307" s="27"/>
      <c r="I307" s="27">
        <f>(F307+G307+H307)*$I$3</f>
        <v>0</v>
      </c>
      <c r="J307" s="28">
        <f>ROUND(SUM(F307:I307),2)</f>
        <v>0</v>
      </c>
      <c r="K307" s="29">
        <f>ROUND(J307*E307,2)</f>
        <v>0</v>
      </c>
      <c r="L307" s="96"/>
      <c r="M307" s="86">
        <v>1</v>
      </c>
    </row>
    <row r="308" s="86" customFormat="1" ht="108" outlineLevel="2" spans="1:15">
      <c r="A308" s="103">
        <f>1+N(A307)</f>
        <v>2</v>
      </c>
      <c r="B308" s="98" t="s">
        <v>59</v>
      </c>
      <c r="C308" s="99" t="s">
        <v>60</v>
      </c>
      <c r="D308" s="100" t="s">
        <v>58</v>
      </c>
      <c r="E308" s="101">
        <v>8.1</v>
      </c>
      <c r="F308" s="101"/>
      <c r="G308" s="101"/>
      <c r="H308" s="101"/>
      <c r="I308" s="27">
        <f>(F308+G308+H308)*$I$3</f>
        <v>0</v>
      </c>
      <c r="J308" s="28">
        <f>ROUND(SUM(F308:I308),2)</f>
        <v>0</v>
      </c>
      <c r="K308" s="29">
        <f>ROUND(J308*E308,2)</f>
        <v>0</v>
      </c>
      <c r="L308" s="96"/>
      <c r="M308" s="86">
        <v>1</v>
      </c>
    </row>
    <row r="309" s="86" customFormat="1" ht="36" outlineLevel="2" spans="1:15">
      <c r="A309" s="103">
        <f>1+N(A308)</f>
        <v>3</v>
      </c>
      <c r="B309" s="98" t="s">
        <v>63</v>
      </c>
      <c r="C309" s="99" t="s">
        <v>64</v>
      </c>
      <c r="D309" s="100" t="s">
        <v>65</v>
      </c>
      <c r="E309" s="101">
        <v>10.75</v>
      </c>
      <c r="F309" s="101"/>
      <c r="G309" s="101"/>
      <c r="H309" s="101"/>
      <c r="I309" s="27">
        <f>(F309+G309+H309)*$I$3</f>
        <v>0</v>
      </c>
      <c r="J309" s="28">
        <f>ROUND(SUM(F309:I309),2)</f>
        <v>0</v>
      </c>
      <c r="K309" s="29">
        <f>ROUND(J309*E309,2)</f>
        <v>0</v>
      </c>
      <c r="L309" s="96"/>
      <c r="M309" s="86">
        <v>1</v>
      </c>
    </row>
    <row r="310" s="86" customFormat="1" ht="48" outlineLevel="2" spans="1:15">
      <c r="A310" s="103">
        <f>1+N(A309)</f>
        <v>4</v>
      </c>
      <c r="B310" s="98" t="s">
        <v>66</v>
      </c>
      <c r="C310" s="99" t="s">
        <v>67</v>
      </c>
      <c r="D310" s="100" t="s">
        <v>58</v>
      </c>
      <c r="E310" s="101">
        <v>24.9</v>
      </c>
      <c r="F310" s="101"/>
      <c r="G310" s="101"/>
      <c r="H310" s="101"/>
      <c r="I310" s="27">
        <f>(F310+G310+H310)*$I$3</f>
        <v>0</v>
      </c>
      <c r="J310" s="28">
        <f>ROUND(SUM(F310:I310),2)</f>
        <v>0</v>
      </c>
      <c r="K310" s="29">
        <f>ROUND(J310*E310,2)</f>
        <v>0</v>
      </c>
      <c r="L310" s="96"/>
      <c r="M310" s="86">
        <v>1</v>
      </c>
    </row>
    <row r="311" s="86" customFormat="1" ht="24" customHeight="1" outlineLevel="1" spans="1:15">
      <c r="A311" s="97"/>
      <c r="B311" s="98" t="s">
        <v>68</v>
      </c>
      <c r="C311" s="99"/>
      <c r="D311" s="100"/>
      <c r="E311" s="101"/>
      <c r="F311" s="101"/>
      <c r="G311" s="101"/>
      <c r="H311" s="101"/>
      <c r="I311" s="101"/>
      <c r="J311" s="101"/>
      <c r="K311" s="102"/>
      <c r="L311" s="96"/>
    </row>
    <row r="312" s="86" customFormat="1" ht="72" outlineLevel="2" spans="1:15">
      <c r="A312" s="103">
        <f t="shared" ref="A312:A321" si="48">1+N(A311)</f>
        <v>1</v>
      </c>
      <c r="B312" s="104" t="s">
        <v>69</v>
      </c>
      <c r="C312" s="99" t="s">
        <v>70</v>
      </c>
      <c r="D312" s="100" t="s">
        <v>58</v>
      </c>
      <c r="E312" s="101">
        <v>13.085</v>
      </c>
      <c r="F312" s="101"/>
      <c r="G312" s="101"/>
      <c r="H312" s="101"/>
      <c r="I312" s="27">
        <f t="shared" ref="I312:I321" si="49">(F312+G312+H312)*$I$3</f>
        <v>0</v>
      </c>
      <c r="J312" s="28">
        <f t="shared" ref="J312:J321" si="50">ROUND(SUM(F312:I312),2)</f>
        <v>0</v>
      </c>
      <c r="K312" s="29">
        <f t="shared" ref="K312:K321" si="51">ROUND(J312*E312,2)</f>
        <v>0</v>
      </c>
      <c r="L312" s="96"/>
      <c r="M312" s="86">
        <v>1</v>
      </c>
    </row>
    <row r="313" s="86" customFormat="1" ht="96" outlineLevel="2" spans="1:15">
      <c r="A313" s="103">
        <f t="shared" si="48"/>
        <v>2</v>
      </c>
      <c r="B313" s="105" t="s">
        <v>71</v>
      </c>
      <c r="C313" s="106" t="s">
        <v>72</v>
      </c>
      <c r="D313" s="100" t="s">
        <v>58</v>
      </c>
      <c r="E313" s="101">
        <f>56.629+0.727</f>
        <v>57.356</v>
      </c>
      <c r="F313" s="101"/>
      <c r="G313" s="101"/>
      <c r="H313" s="101"/>
      <c r="I313" s="27">
        <f t="shared" si="49"/>
        <v>0</v>
      </c>
      <c r="J313" s="28">
        <f t="shared" si="50"/>
        <v>0</v>
      </c>
      <c r="K313" s="29">
        <f t="shared" si="51"/>
        <v>0</v>
      </c>
      <c r="L313" s="96"/>
      <c r="M313" s="86">
        <v>1</v>
      </c>
    </row>
    <row r="314" s="86" customFormat="1" ht="96" outlineLevel="2" spans="1:15">
      <c r="A314" s="103">
        <f t="shared" si="48"/>
        <v>3</v>
      </c>
      <c r="B314" s="105" t="s">
        <v>73</v>
      </c>
      <c r="C314" s="106" t="s">
        <v>74</v>
      </c>
      <c r="D314" s="100" t="s">
        <v>58</v>
      </c>
      <c r="E314" s="101">
        <v>2.91</v>
      </c>
      <c r="F314" s="101"/>
      <c r="G314" s="101"/>
      <c r="H314" s="101"/>
      <c r="I314" s="27">
        <f t="shared" si="49"/>
        <v>0</v>
      </c>
      <c r="J314" s="28">
        <f t="shared" si="50"/>
        <v>0</v>
      </c>
      <c r="K314" s="29">
        <f t="shared" si="51"/>
        <v>0</v>
      </c>
      <c r="L314" s="96"/>
      <c r="M314" s="86">
        <v>1</v>
      </c>
    </row>
    <row r="315" s="86" customFormat="1" ht="48" outlineLevel="2" spans="1:15">
      <c r="A315" s="103">
        <f t="shared" si="48"/>
        <v>4</v>
      </c>
      <c r="B315" s="105" t="s">
        <v>79</v>
      </c>
      <c r="C315" s="106" t="s">
        <v>78</v>
      </c>
      <c r="D315" s="105" t="s">
        <v>58</v>
      </c>
      <c r="E315" s="101">
        <f>0.296*3*2*2</f>
        <v>3.552</v>
      </c>
      <c r="F315" s="101"/>
      <c r="G315" s="101"/>
      <c r="H315" s="101"/>
      <c r="I315" s="27">
        <f t="shared" si="49"/>
        <v>0</v>
      </c>
      <c r="J315" s="28">
        <f t="shared" si="50"/>
        <v>0</v>
      </c>
      <c r="K315" s="29">
        <f t="shared" si="51"/>
        <v>0</v>
      </c>
      <c r="L315" s="96"/>
      <c r="M315" s="86">
        <v>1</v>
      </c>
    </row>
    <row r="316" s="86" customFormat="1" ht="60" outlineLevel="2" spans="1:15">
      <c r="A316" s="103">
        <f t="shared" si="48"/>
        <v>5</v>
      </c>
      <c r="B316" s="105" t="s">
        <v>80</v>
      </c>
      <c r="C316" s="106" t="s">
        <v>81</v>
      </c>
      <c r="D316" s="105" t="s">
        <v>58</v>
      </c>
      <c r="E316" s="101">
        <f>+(0.061+0.72+0.114+0.074)*0.95*2</f>
        <v>1.8411</v>
      </c>
      <c r="F316" s="101"/>
      <c r="G316" s="101"/>
      <c r="H316" s="101"/>
      <c r="I316" s="27">
        <f t="shared" si="49"/>
        <v>0</v>
      </c>
      <c r="J316" s="28">
        <f t="shared" si="50"/>
        <v>0</v>
      </c>
      <c r="K316" s="29">
        <f t="shared" si="51"/>
        <v>0</v>
      </c>
      <c r="L316" s="96"/>
      <c r="M316" s="86">
        <v>1</v>
      </c>
    </row>
    <row r="317" s="86" customFormat="1" ht="48" outlineLevel="2" spans="1:15">
      <c r="A317" s="103">
        <f t="shared" si="48"/>
        <v>6</v>
      </c>
      <c r="B317" s="105" t="s">
        <v>82</v>
      </c>
      <c r="C317" s="106" t="s">
        <v>83</v>
      </c>
      <c r="D317" s="105" t="s">
        <v>58</v>
      </c>
      <c r="E317" s="101">
        <v>0.252</v>
      </c>
      <c r="F317" s="101"/>
      <c r="G317" s="101"/>
      <c r="H317" s="101"/>
      <c r="I317" s="27">
        <f t="shared" si="49"/>
        <v>0</v>
      </c>
      <c r="J317" s="28">
        <f t="shared" si="50"/>
        <v>0</v>
      </c>
      <c r="K317" s="29">
        <f t="shared" si="51"/>
        <v>0</v>
      </c>
      <c r="L317" s="96"/>
      <c r="M317" s="86">
        <v>1</v>
      </c>
    </row>
    <row r="318" s="86" customFormat="1" ht="48" outlineLevel="2" spans="1:15">
      <c r="A318" s="103">
        <f t="shared" si="48"/>
        <v>7</v>
      </c>
      <c r="B318" s="105" t="s">
        <v>86</v>
      </c>
      <c r="C318" s="106" t="s">
        <v>87</v>
      </c>
      <c r="D318" s="105" t="s">
        <v>65</v>
      </c>
      <c r="E318" s="101">
        <v>25.012</v>
      </c>
      <c r="F318" s="101"/>
      <c r="G318" s="101"/>
      <c r="H318" s="101"/>
      <c r="I318" s="27">
        <f t="shared" si="49"/>
        <v>0</v>
      </c>
      <c r="J318" s="28">
        <f t="shared" si="50"/>
        <v>0</v>
      </c>
      <c r="K318" s="29">
        <f t="shared" si="51"/>
        <v>0</v>
      </c>
      <c r="L318" s="96"/>
      <c r="M318" s="86">
        <v>1</v>
      </c>
    </row>
    <row r="319" s="86" customFormat="1" ht="36" outlineLevel="2" spans="1:15">
      <c r="A319" s="103">
        <f t="shared" si="48"/>
        <v>8</v>
      </c>
      <c r="B319" s="105" t="s">
        <v>88</v>
      </c>
      <c r="C319" s="106" t="s">
        <v>89</v>
      </c>
      <c r="D319" s="105" t="s">
        <v>65</v>
      </c>
      <c r="E319" s="101">
        <f>0.17*2</f>
        <v>0.34</v>
      </c>
      <c r="F319" s="101"/>
      <c r="G319" s="101"/>
      <c r="H319" s="101"/>
      <c r="I319" s="27">
        <f t="shared" si="49"/>
        <v>0</v>
      </c>
      <c r="J319" s="28">
        <f t="shared" si="50"/>
        <v>0</v>
      </c>
      <c r="K319" s="29">
        <f t="shared" si="51"/>
        <v>0</v>
      </c>
      <c r="L319" s="96"/>
      <c r="M319" s="86">
        <v>1</v>
      </c>
    </row>
    <row r="320" s="86" customFormat="1" ht="48" outlineLevel="2" spans="1:15">
      <c r="A320" s="103">
        <f t="shared" si="48"/>
        <v>9</v>
      </c>
      <c r="B320" s="105" t="s">
        <v>92</v>
      </c>
      <c r="C320" s="106" t="s">
        <v>93</v>
      </c>
      <c r="D320" s="105" t="s">
        <v>65</v>
      </c>
      <c r="E320" s="101">
        <v>24.672</v>
      </c>
      <c r="F320" s="101"/>
      <c r="G320" s="101"/>
      <c r="H320" s="101"/>
      <c r="I320" s="27">
        <f t="shared" si="49"/>
        <v>0</v>
      </c>
      <c r="J320" s="28">
        <f t="shared" si="50"/>
        <v>0</v>
      </c>
      <c r="K320" s="29">
        <f t="shared" si="51"/>
        <v>0</v>
      </c>
      <c r="L320" s="96"/>
      <c r="M320" s="86">
        <v>1</v>
      </c>
    </row>
    <row r="321" s="86" customFormat="1" ht="48" outlineLevel="2" spans="1:15">
      <c r="A321" s="103">
        <f t="shared" si="48"/>
        <v>10</v>
      </c>
      <c r="B321" s="105" t="s">
        <v>94</v>
      </c>
      <c r="C321" s="106" t="s">
        <v>95</v>
      </c>
      <c r="D321" s="105" t="s">
        <v>65</v>
      </c>
      <c r="E321" s="101">
        <v>25.012</v>
      </c>
      <c r="F321" s="101"/>
      <c r="G321" s="101"/>
      <c r="H321" s="101"/>
      <c r="I321" s="27">
        <f t="shared" si="49"/>
        <v>0</v>
      </c>
      <c r="J321" s="28">
        <f t="shared" si="50"/>
        <v>0</v>
      </c>
      <c r="K321" s="29">
        <f t="shared" si="51"/>
        <v>0</v>
      </c>
      <c r="L321" s="96"/>
      <c r="M321" s="86">
        <v>1</v>
      </c>
    </row>
    <row r="322" s="86" customFormat="1" ht="24" customHeight="1" outlineLevel="1" spans="1:15">
      <c r="A322" s="97"/>
      <c r="B322" s="98" t="s">
        <v>96</v>
      </c>
      <c r="C322" s="99"/>
      <c r="D322" s="100"/>
      <c r="E322" s="101"/>
      <c r="F322" s="101"/>
      <c r="G322" s="101"/>
      <c r="H322" s="101"/>
      <c r="I322" s="101"/>
      <c r="J322" s="101"/>
      <c r="K322" s="102"/>
      <c r="L322" s="96"/>
    </row>
    <row r="323" s="86" customFormat="1" ht="96" outlineLevel="2" spans="1:15">
      <c r="A323" s="103">
        <f>1+N(A322)</f>
        <v>1</v>
      </c>
      <c r="B323" s="98" t="s">
        <v>97</v>
      </c>
      <c r="C323" s="108" t="s">
        <v>98</v>
      </c>
      <c r="D323" s="100" t="s">
        <v>58</v>
      </c>
      <c r="E323" s="101">
        <v>24.9</v>
      </c>
      <c r="F323" s="101"/>
      <c r="G323" s="101"/>
      <c r="H323" s="101"/>
      <c r="I323" s="27">
        <f>(F323+G323+H323)*$I$3</f>
        <v>0</v>
      </c>
      <c r="J323" s="28">
        <f>ROUND(SUM(F323:I323),2)</f>
        <v>0</v>
      </c>
      <c r="K323" s="29">
        <f>ROUND(J323*E323,2)</f>
        <v>0</v>
      </c>
      <c r="L323" s="96"/>
      <c r="M323" s="86">
        <v>1</v>
      </c>
    </row>
    <row r="324" s="86" customFormat="1" ht="48" outlineLevel="2" spans="1:15">
      <c r="A324" s="103">
        <f>1+N(A323)</f>
        <v>2</v>
      </c>
      <c r="B324" s="98" t="s">
        <v>99</v>
      </c>
      <c r="C324" s="108" t="s">
        <v>100</v>
      </c>
      <c r="D324" s="100" t="s">
        <v>65</v>
      </c>
      <c r="E324" s="101">
        <v>10.73</v>
      </c>
      <c r="F324" s="101"/>
      <c r="G324" s="101"/>
      <c r="H324" s="101"/>
      <c r="I324" s="27">
        <f>(F324+G324+H324)*$I$3</f>
        <v>0</v>
      </c>
      <c r="J324" s="28">
        <f>ROUND(SUM(F324:I324),2)</f>
        <v>0</v>
      </c>
      <c r="K324" s="29">
        <f>ROUND(J324*E324,2)</f>
        <v>0</v>
      </c>
      <c r="L324" s="96"/>
      <c r="M324" s="86">
        <v>1</v>
      </c>
    </row>
    <row r="325" s="86" customFormat="1" ht="48" outlineLevel="2" spans="1:15">
      <c r="A325" s="103">
        <f>1+N(A324)</f>
        <v>3</v>
      </c>
      <c r="B325" s="98" t="s">
        <v>101</v>
      </c>
      <c r="C325" s="108" t="s">
        <v>102</v>
      </c>
      <c r="D325" s="100" t="s">
        <v>65</v>
      </c>
      <c r="E325" s="101">
        <v>10.73</v>
      </c>
      <c r="F325" s="101"/>
      <c r="G325" s="101"/>
      <c r="H325" s="101"/>
      <c r="I325" s="27">
        <f>(F325+G325+H325)*$I$3</f>
        <v>0</v>
      </c>
      <c r="J325" s="28">
        <f>ROUND(SUM(F325:I325),2)</f>
        <v>0</v>
      </c>
      <c r="K325" s="29">
        <f>ROUND(J325*E325,2)</f>
        <v>0</v>
      </c>
      <c r="L325" s="96"/>
      <c r="M325" s="86">
        <v>1</v>
      </c>
    </row>
    <row r="326" s="86" customFormat="1" ht="72" customHeight="1" outlineLevel="2" spans="1:15">
      <c r="A326" s="103">
        <f>1+N(A325)</f>
        <v>4</v>
      </c>
      <c r="B326" s="98" t="s">
        <v>105</v>
      </c>
      <c r="C326" s="108" t="s">
        <v>106</v>
      </c>
      <c r="D326" s="100" t="s">
        <v>58</v>
      </c>
      <c r="E326" s="101">
        <f>24.9+10.73*0.3</f>
        <v>28.119</v>
      </c>
      <c r="F326" s="101"/>
      <c r="G326" s="101"/>
      <c r="H326" s="101"/>
      <c r="I326" s="27">
        <f>(F326+G326+H326)*$I$3</f>
        <v>0</v>
      </c>
      <c r="J326" s="28">
        <f>ROUND(SUM(F326:I326),2)</f>
        <v>0</v>
      </c>
      <c r="K326" s="29">
        <f>ROUND(J326*E326,2)</f>
        <v>0</v>
      </c>
      <c r="L326" s="96"/>
      <c r="M326" s="86">
        <v>1</v>
      </c>
    </row>
    <row r="327" s="86" customFormat="1" ht="24" customHeight="1" outlineLevel="1" spans="1:15">
      <c r="A327" s="97"/>
      <c r="B327" s="98" t="s">
        <v>107</v>
      </c>
      <c r="C327" s="99"/>
      <c r="D327" s="100"/>
      <c r="E327" s="101"/>
      <c r="F327" s="101"/>
      <c r="G327" s="101"/>
      <c r="H327" s="101"/>
      <c r="I327" s="101"/>
      <c r="J327" s="101"/>
      <c r="K327" s="102"/>
      <c r="L327" s="96"/>
    </row>
    <row r="328" s="86" customFormat="1" ht="36" outlineLevel="2" spans="1:15">
      <c r="A328" s="103">
        <f>1+N(A327)</f>
        <v>1</v>
      </c>
      <c r="B328" s="98" t="s">
        <v>120</v>
      </c>
      <c r="C328" s="99" t="s">
        <v>109</v>
      </c>
      <c r="D328" s="100" t="s">
        <v>58</v>
      </c>
      <c r="E328" s="101">
        <f>0.75*3</f>
        <v>2.25</v>
      </c>
      <c r="F328" s="101"/>
      <c r="G328" s="101"/>
      <c r="H328" s="101"/>
      <c r="I328" s="27">
        <f>(F328+G328+H328)*$I$3</f>
        <v>0</v>
      </c>
      <c r="J328" s="28">
        <f>ROUND(SUM(F328:I328),2)</f>
        <v>0</v>
      </c>
      <c r="K328" s="29">
        <f>ROUND(J328*E328,2)</f>
        <v>0</v>
      </c>
      <c r="L328" s="96"/>
      <c r="M328" s="86">
        <v>1</v>
      </c>
    </row>
    <row r="329" s="86" customFormat="1" ht="72" outlineLevel="2" spans="1:15">
      <c r="A329" s="103">
        <f>1+N(A328)</f>
        <v>2</v>
      </c>
      <c r="B329" s="98" t="s">
        <v>110</v>
      </c>
      <c r="C329" s="106" t="s">
        <v>111</v>
      </c>
      <c r="D329" s="100" t="s">
        <v>58</v>
      </c>
      <c r="E329" s="101">
        <f>1.84*3</f>
        <v>5.52</v>
      </c>
      <c r="F329" s="101"/>
      <c r="G329" s="101"/>
      <c r="H329" s="101"/>
      <c r="I329" s="27">
        <f>(F329+G329+H329)*$I$3</f>
        <v>0</v>
      </c>
      <c r="J329" s="28">
        <f>ROUND(SUM(F329:I329),2)</f>
        <v>0</v>
      </c>
      <c r="K329" s="29">
        <f>ROUND(J329*E329,2)</f>
        <v>0</v>
      </c>
      <c r="L329" s="96"/>
      <c r="M329" s="86">
        <v>1</v>
      </c>
    </row>
    <row r="330" s="86" customFormat="1" ht="36" outlineLevel="2" spans="1:15">
      <c r="A330" s="103">
        <f>1+N(A329)</f>
        <v>3</v>
      </c>
      <c r="B330" s="105" t="s">
        <v>112</v>
      </c>
      <c r="C330" s="106" t="s">
        <v>113</v>
      </c>
      <c r="D330" s="105" t="s">
        <v>58</v>
      </c>
      <c r="E330" s="101">
        <f>1.41*3</f>
        <v>4.23</v>
      </c>
      <c r="F330" s="101"/>
      <c r="G330" s="101"/>
      <c r="H330" s="101"/>
      <c r="I330" s="27">
        <f>(F330+G330+H330)*$I$3</f>
        <v>0</v>
      </c>
      <c r="J330" s="28">
        <f>ROUND(SUM(F330:I330),2)</f>
        <v>0</v>
      </c>
      <c r="K330" s="29">
        <f>ROUND(J330*E330,2)</f>
        <v>0</v>
      </c>
      <c r="L330" s="96"/>
      <c r="M330" s="86">
        <v>1</v>
      </c>
    </row>
    <row r="331" s="86" customFormat="1" ht="24" customHeight="1" outlineLevel="1" spans="1:15">
      <c r="A331" s="92" t="s">
        <v>206</v>
      </c>
      <c r="B331" s="93" t="s">
        <v>155</v>
      </c>
      <c r="C331" s="93"/>
      <c r="D331" s="94"/>
      <c r="E331" s="95"/>
      <c r="F331" s="95"/>
      <c r="G331" s="95"/>
      <c r="H331" s="95"/>
      <c r="I331" s="95"/>
      <c r="J331" s="95"/>
      <c r="K331" s="23"/>
      <c r="L331" s="96"/>
      <c r="O331" s="86" t="str">
        <f>_xlfn.DISPIMG("ID_08529AA2B4754D7788EF3058DD12C0B7",1)</f>
        <v>=DISPIMG("ID_08529AA2B4754D7788EF3058DD12C0B7",1)</v>
      </c>
    </row>
    <row r="332" s="86" customFormat="1" ht="24" customHeight="1" outlineLevel="1" spans="1:15">
      <c r="A332" s="97"/>
      <c r="B332" s="105" t="s">
        <v>156</v>
      </c>
      <c r="C332" s="99"/>
      <c r="D332" s="100"/>
      <c r="E332" s="101"/>
      <c r="F332" s="101"/>
      <c r="G332" s="101"/>
      <c r="H332" s="101"/>
      <c r="I332" s="101"/>
      <c r="J332" s="101"/>
      <c r="K332" s="102"/>
      <c r="L332" s="96"/>
    </row>
    <row r="333" s="86" customFormat="1" ht="60" outlineLevel="2" spans="1:15">
      <c r="A333" s="103">
        <f>1+N(A332)</f>
        <v>1</v>
      </c>
      <c r="B333" s="105" t="s">
        <v>207</v>
      </c>
      <c r="C333" s="106" t="s">
        <v>208</v>
      </c>
      <c r="D333" s="100" t="s">
        <v>209</v>
      </c>
      <c r="E333" s="101">
        <f>5.111*4.07</f>
        <v>20.80177</v>
      </c>
      <c r="F333" s="101"/>
      <c r="G333" s="101"/>
      <c r="H333" s="101"/>
      <c r="I333" s="27">
        <f>(F333+G333+H333)*$I$3</f>
        <v>0</v>
      </c>
      <c r="J333" s="28">
        <f>ROUND(SUM(F333:I333),2)</f>
        <v>0</v>
      </c>
      <c r="K333" s="29">
        <f>ROUND(J333*E333,2)</f>
        <v>0</v>
      </c>
      <c r="L333" s="96"/>
      <c r="M333" s="86">
        <v>1</v>
      </c>
    </row>
    <row r="334" s="86" customFormat="1" ht="33.75" outlineLevel="2" spans="1:15">
      <c r="A334" s="103">
        <f>1+N(A333)</f>
        <v>2</v>
      </c>
      <c r="B334" s="105" t="s">
        <v>210</v>
      </c>
      <c r="C334" s="114" t="s">
        <v>211</v>
      </c>
      <c r="D334" s="115" t="s">
        <v>58</v>
      </c>
      <c r="E334" s="101">
        <f>29.207*4.07</f>
        <v>118.87249</v>
      </c>
      <c r="F334" s="101"/>
      <c r="G334" s="101"/>
      <c r="H334" s="101"/>
      <c r="I334" s="27">
        <f>(F334+G334+H334)*$I$3</f>
        <v>0</v>
      </c>
      <c r="J334" s="28">
        <f>ROUND(SUM(F334:I334),2)</f>
        <v>0</v>
      </c>
      <c r="K334" s="29">
        <f>ROUND(J334*E334,2)</f>
        <v>0</v>
      </c>
      <c r="L334" s="96"/>
      <c r="M334" s="86">
        <v>1</v>
      </c>
    </row>
    <row r="335" s="86" customFormat="1" ht="72" outlineLevel="2" spans="1:15">
      <c r="A335" s="103">
        <f>1+N(A334)</f>
        <v>3</v>
      </c>
      <c r="B335" s="105" t="s">
        <v>157</v>
      </c>
      <c r="C335" s="106" t="s">
        <v>158</v>
      </c>
      <c r="D335" s="100" t="s">
        <v>58</v>
      </c>
      <c r="E335" s="101">
        <f>43.451*4.07</f>
        <v>176.84557</v>
      </c>
      <c r="F335" s="101"/>
      <c r="G335" s="101"/>
      <c r="H335" s="101"/>
      <c r="I335" s="27">
        <f>(F335+G335+H335)*$I$3</f>
        <v>0</v>
      </c>
      <c r="J335" s="28">
        <f>ROUND(SUM(F335:I335),2)</f>
        <v>0</v>
      </c>
      <c r="K335" s="29">
        <f>ROUND(J335*E335,2)</f>
        <v>0</v>
      </c>
      <c r="L335" s="96"/>
      <c r="M335" s="86">
        <v>1</v>
      </c>
    </row>
    <row r="336" s="86" customFormat="1" ht="24" customHeight="1" spans="1:15">
      <c r="A336" s="92" t="s">
        <v>212</v>
      </c>
      <c r="B336" s="116" t="s">
        <v>213</v>
      </c>
      <c r="C336" s="116"/>
      <c r="D336" s="117"/>
      <c r="E336" s="95"/>
      <c r="F336" s="95"/>
      <c r="G336" s="95"/>
      <c r="H336" s="95"/>
      <c r="I336" s="95"/>
      <c r="J336" s="95"/>
      <c r="K336" s="23">
        <f>SUM(K337:K447)</f>
        <v>0</v>
      </c>
      <c r="L336" s="96"/>
      <c r="O336" s="112"/>
    </row>
    <row r="337" s="86" customFormat="1" ht="24" customHeight="1" outlineLevel="1" spans="1:15">
      <c r="A337" s="92" t="s">
        <v>53</v>
      </c>
      <c r="B337" s="93" t="s">
        <v>214</v>
      </c>
      <c r="C337" s="93"/>
      <c r="D337" s="94"/>
      <c r="E337" s="95"/>
      <c r="F337" s="95"/>
      <c r="G337" s="95"/>
      <c r="H337" s="95"/>
      <c r="I337" s="95"/>
      <c r="J337" s="95"/>
      <c r="K337" s="23"/>
      <c r="L337" s="96"/>
      <c r="O337" s="112" t="str">
        <f>_xlfn.DISPIMG("ID_2E98F7372404413096138FD16E0C8F7D",1)</f>
        <v>=DISPIMG("ID_2E98F7372404413096138FD16E0C8F7D",1)</v>
      </c>
    </row>
    <row r="338" s="86" customFormat="1" ht="24" customHeight="1" outlineLevel="1" spans="1:15">
      <c r="A338" s="97"/>
      <c r="B338" s="98" t="s">
        <v>55</v>
      </c>
      <c r="C338" s="99"/>
      <c r="D338" s="100"/>
      <c r="E338" s="101"/>
      <c r="F338" s="101"/>
      <c r="G338" s="101"/>
      <c r="H338" s="101"/>
      <c r="I338" s="101"/>
      <c r="J338" s="101"/>
      <c r="K338" s="102"/>
      <c r="L338" s="96"/>
    </row>
    <row r="339" s="86" customFormat="1" ht="96" outlineLevel="2" spans="1:15">
      <c r="A339" s="103">
        <f>1+N(A338)</f>
        <v>1</v>
      </c>
      <c r="B339" s="98" t="s">
        <v>215</v>
      </c>
      <c r="C339" s="99" t="s">
        <v>216</v>
      </c>
      <c r="D339" s="100" t="s">
        <v>58</v>
      </c>
      <c r="E339" s="101">
        <v>1.35</v>
      </c>
      <c r="F339" s="101"/>
      <c r="G339" s="101"/>
      <c r="H339" s="27"/>
      <c r="I339" s="27">
        <f>(F339+G339+H339)*$I$3</f>
        <v>0</v>
      </c>
      <c r="J339" s="28">
        <f>ROUND(SUM(F339:I339),2)</f>
        <v>0</v>
      </c>
      <c r="K339" s="29">
        <f>ROUND(J339*E339,2)</f>
        <v>0</v>
      </c>
      <c r="L339" s="96"/>
      <c r="M339" s="86">
        <v>1</v>
      </c>
    </row>
    <row r="340" s="86" customFormat="1" ht="96" outlineLevel="2" spans="1:15">
      <c r="A340" s="103">
        <f>1+N(A339)</f>
        <v>2</v>
      </c>
      <c r="B340" s="98" t="s">
        <v>161</v>
      </c>
      <c r="C340" s="99" t="s">
        <v>162</v>
      </c>
      <c r="D340" s="100" t="s">
        <v>58</v>
      </c>
      <c r="E340" s="101">
        <v>6.34</v>
      </c>
      <c r="F340" s="101"/>
      <c r="G340" s="101"/>
      <c r="H340" s="27"/>
      <c r="I340" s="27">
        <f>(F340+G340+H340)*$I$3</f>
        <v>0</v>
      </c>
      <c r="J340" s="28">
        <f>ROUND(SUM(F340:I340),2)</f>
        <v>0</v>
      </c>
      <c r="K340" s="29">
        <f>ROUND(J340*E340,2)</f>
        <v>0</v>
      </c>
      <c r="L340" s="96"/>
      <c r="M340" s="86">
        <v>1</v>
      </c>
    </row>
    <row r="341" s="86" customFormat="1" ht="96" outlineLevel="2" spans="1:15">
      <c r="A341" s="103">
        <f>1+N(A340)</f>
        <v>3</v>
      </c>
      <c r="B341" s="98" t="s">
        <v>217</v>
      </c>
      <c r="C341" s="99" t="s">
        <v>218</v>
      </c>
      <c r="D341" s="100" t="s">
        <v>58</v>
      </c>
      <c r="E341" s="101">
        <v>4.66</v>
      </c>
      <c r="F341" s="101"/>
      <c r="G341" s="101"/>
      <c r="H341" s="27"/>
      <c r="I341" s="27">
        <f>(F341+G341+H341)*$I$3</f>
        <v>0</v>
      </c>
      <c r="J341" s="28">
        <f>ROUND(SUM(F341:I341),2)</f>
        <v>0</v>
      </c>
      <c r="K341" s="29">
        <f>ROUND(J341*E341,2)</f>
        <v>0</v>
      </c>
      <c r="L341" s="96"/>
      <c r="M341" s="86">
        <v>1</v>
      </c>
    </row>
    <row r="342" s="86" customFormat="1" ht="36" outlineLevel="2" spans="1:15">
      <c r="A342" s="103">
        <f>1+N(A341)</f>
        <v>4</v>
      </c>
      <c r="B342" s="98" t="s">
        <v>63</v>
      </c>
      <c r="C342" s="99" t="s">
        <v>64</v>
      </c>
      <c r="D342" s="100" t="s">
        <v>65</v>
      </c>
      <c r="E342" s="101">
        <v>8.47</v>
      </c>
      <c r="F342" s="101"/>
      <c r="G342" s="101"/>
      <c r="H342" s="101"/>
      <c r="I342" s="27">
        <f>(F342+G342+H342)*$I$3</f>
        <v>0</v>
      </c>
      <c r="J342" s="28">
        <f>ROUND(SUM(F342:I342),2)</f>
        <v>0</v>
      </c>
      <c r="K342" s="29">
        <f>ROUND(J342*E342,2)</f>
        <v>0</v>
      </c>
      <c r="L342" s="96"/>
      <c r="M342" s="86">
        <v>1</v>
      </c>
    </row>
    <row r="343" s="86" customFormat="1" ht="48" outlineLevel="2" spans="1:15">
      <c r="A343" s="103">
        <f>1+N(A342)</f>
        <v>5</v>
      </c>
      <c r="B343" s="98" t="s">
        <v>66</v>
      </c>
      <c r="C343" s="99" t="s">
        <v>67</v>
      </c>
      <c r="D343" s="100" t="s">
        <v>58</v>
      </c>
      <c r="E343" s="101">
        <v>1.35</v>
      </c>
      <c r="F343" s="101"/>
      <c r="G343" s="101"/>
      <c r="H343" s="101"/>
      <c r="I343" s="27">
        <f>(F343+G343+H343)*$I$3</f>
        <v>0</v>
      </c>
      <c r="J343" s="28">
        <f>ROUND(SUM(F343:I343),2)</f>
        <v>0</v>
      </c>
      <c r="K343" s="29">
        <f>ROUND(J343*E343,2)</f>
        <v>0</v>
      </c>
      <c r="L343" s="96"/>
      <c r="M343" s="86">
        <v>1</v>
      </c>
    </row>
    <row r="344" s="86" customFormat="1" ht="24" customHeight="1" outlineLevel="1" spans="1:15">
      <c r="A344" s="97"/>
      <c r="B344" s="98" t="s">
        <v>68</v>
      </c>
      <c r="C344" s="99"/>
      <c r="D344" s="100"/>
      <c r="E344" s="101"/>
      <c r="F344" s="101"/>
      <c r="G344" s="101"/>
      <c r="H344" s="101"/>
      <c r="I344" s="101"/>
      <c r="J344" s="101"/>
      <c r="K344" s="102"/>
      <c r="L344" s="96"/>
    </row>
    <row r="345" s="86" customFormat="1" ht="60" customHeight="1" outlineLevel="2" spans="1:15">
      <c r="A345" s="103">
        <f t="shared" ref="A345:A356" si="52">1+N(A344)</f>
        <v>1</v>
      </c>
      <c r="B345" s="104" t="s">
        <v>219</v>
      </c>
      <c r="C345" s="99" t="s">
        <v>220</v>
      </c>
      <c r="D345" s="100" t="s">
        <v>58</v>
      </c>
      <c r="E345" s="101">
        <v>1.469</v>
      </c>
      <c r="F345" s="101"/>
      <c r="G345" s="101"/>
      <c r="H345" s="101"/>
      <c r="I345" s="27">
        <f t="shared" ref="I345:I356" si="53">(F345+G345+H345)*$I$3</f>
        <v>0</v>
      </c>
      <c r="J345" s="28">
        <f t="shared" ref="J345:J356" si="54">ROUND(SUM(F345:I345),2)</f>
        <v>0</v>
      </c>
      <c r="K345" s="29">
        <f t="shared" ref="K345:K356" si="55">ROUND(J345*E345,2)</f>
        <v>0</v>
      </c>
      <c r="L345" s="96"/>
      <c r="M345" s="86">
        <v>1</v>
      </c>
    </row>
    <row r="346" s="86" customFormat="1" ht="60" customHeight="1" outlineLevel="2" spans="1:15">
      <c r="A346" s="103">
        <f t="shared" si="52"/>
        <v>2</v>
      </c>
      <c r="B346" s="98" t="s">
        <v>221</v>
      </c>
      <c r="C346" s="99" t="s">
        <v>222</v>
      </c>
      <c r="D346" s="100" t="s">
        <v>58</v>
      </c>
      <c r="E346" s="101">
        <v>9.372</v>
      </c>
      <c r="F346" s="101"/>
      <c r="G346" s="101"/>
      <c r="H346" s="101"/>
      <c r="I346" s="27">
        <f t="shared" si="53"/>
        <v>0</v>
      </c>
      <c r="J346" s="28">
        <f t="shared" si="54"/>
        <v>0</v>
      </c>
      <c r="K346" s="29">
        <f t="shared" si="55"/>
        <v>0</v>
      </c>
      <c r="L346" s="96"/>
      <c r="M346" s="86">
        <v>1</v>
      </c>
    </row>
    <row r="347" s="86" customFormat="1" ht="72" outlineLevel="2" spans="1:15">
      <c r="A347" s="103">
        <f t="shared" si="52"/>
        <v>3</v>
      </c>
      <c r="B347" s="107" t="s">
        <v>223</v>
      </c>
      <c r="C347" s="99" t="s">
        <v>224</v>
      </c>
      <c r="D347" s="100" t="s">
        <v>58</v>
      </c>
      <c r="E347" s="101">
        <v>11.648</v>
      </c>
      <c r="F347" s="101"/>
      <c r="G347" s="101"/>
      <c r="H347" s="101"/>
      <c r="I347" s="27">
        <f t="shared" si="53"/>
        <v>0</v>
      </c>
      <c r="J347" s="28">
        <f t="shared" si="54"/>
        <v>0</v>
      </c>
      <c r="K347" s="29">
        <f t="shared" si="55"/>
        <v>0</v>
      </c>
      <c r="L347" s="96"/>
      <c r="M347" s="86">
        <v>1</v>
      </c>
    </row>
    <row r="348" s="86" customFormat="1" ht="60" customHeight="1" outlineLevel="2" spans="1:15">
      <c r="A348" s="103">
        <f t="shared" si="52"/>
        <v>4</v>
      </c>
      <c r="B348" s="107" t="s">
        <v>126</v>
      </c>
      <c r="C348" s="99" t="s">
        <v>225</v>
      </c>
      <c r="D348" s="100" t="s">
        <v>58</v>
      </c>
      <c r="E348" s="101">
        <f>0.355*2.4*2+0.375*0.25*3</f>
        <v>1.98525</v>
      </c>
      <c r="F348" s="101"/>
      <c r="G348" s="101"/>
      <c r="H348" s="101"/>
      <c r="I348" s="27">
        <f t="shared" si="53"/>
        <v>0</v>
      </c>
      <c r="J348" s="28">
        <f t="shared" si="54"/>
        <v>0</v>
      </c>
      <c r="K348" s="29">
        <f t="shared" si="55"/>
        <v>0</v>
      </c>
      <c r="L348" s="96"/>
      <c r="M348" s="86">
        <v>1</v>
      </c>
    </row>
    <row r="349" s="86" customFormat="1" ht="60" customHeight="1" outlineLevel="2" spans="1:15">
      <c r="A349" s="103">
        <f t="shared" si="52"/>
        <v>5</v>
      </c>
      <c r="B349" s="107" t="s">
        <v>226</v>
      </c>
      <c r="C349" s="99" t="s">
        <v>227</v>
      </c>
      <c r="D349" s="100" t="s">
        <v>58</v>
      </c>
      <c r="E349" s="101">
        <f>0.133*2+(0.59-0.05)*3</f>
        <v>1.886</v>
      </c>
      <c r="F349" s="101"/>
      <c r="G349" s="101"/>
      <c r="H349" s="101"/>
      <c r="I349" s="27">
        <f t="shared" si="53"/>
        <v>0</v>
      </c>
      <c r="J349" s="28">
        <f t="shared" si="54"/>
        <v>0</v>
      </c>
      <c r="K349" s="29">
        <f t="shared" si="55"/>
        <v>0</v>
      </c>
      <c r="L349" s="96"/>
      <c r="M349" s="86">
        <v>1</v>
      </c>
    </row>
    <row r="350" s="86" customFormat="1" ht="60" customHeight="1" outlineLevel="2" spans="1:15">
      <c r="A350" s="103">
        <f t="shared" si="52"/>
        <v>6</v>
      </c>
      <c r="B350" s="107" t="s">
        <v>228</v>
      </c>
      <c r="C350" s="99" t="s">
        <v>229</v>
      </c>
      <c r="D350" s="100" t="s">
        <v>58</v>
      </c>
      <c r="E350" s="101">
        <f>0.075*0.25*3</f>
        <v>0.05625</v>
      </c>
      <c r="F350" s="101"/>
      <c r="G350" s="101"/>
      <c r="H350" s="101"/>
      <c r="I350" s="27">
        <f t="shared" si="53"/>
        <v>0</v>
      </c>
      <c r="J350" s="28">
        <f t="shared" si="54"/>
        <v>0</v>
      </c>
      <c r="K350" s="29">
        <f t="shared" si="55"/>
        <v>0</v>
      </c>
      <c r="L350" s="96"/>
      <c r="M350" s="86">
        <v>1</v>
      </c>
    </row>
    <row r="351" s="86" customFormat="1" ht="60" customHeight="1" outlineLevel="2" spans="1:15">
      <c r="A351" s="103">
        <f t="shared" si="52"/>
        <v>7</v>
      </c>
      <c r="B351" s="105" t="s">
        <v>80</v>
      </c>
      <c r="C351" s="106" t="s">
        <v>81</v>
      </c>
      <c r="D351" s="105" t="s">
        <v>58</v>
      </c>
      <c r="E351" s="101">
        <f>+(0.308+0.074)*0.95*2</f>
        <v>0.7258</v>
      </c>
      <c r="F351" s="101"/>
      <c r="G351" s="101"/>
      <c r="H351" s="101"/>
      <c r="I351" s="27">
        <f t="shared" si="53"/>
        <v>0</v>
      </c>
      <c r="J351" s="28">
        <f t="shared" si="54"/>
        <v>0</v>
      </c>
      <c r="K351" s="29">
        <f t="shared" si="55"/>
        <v>0</v>
      </c>
      <c r="L351" s="96"/>
      <c r="M351" s="86">
        <v>1</v>
      </c>
    </row>
    <row r="352" s="86" customFormat="1" ht="48" outlineLevel="2" spans="1:15">
      <c r="A352" s="103">
        <f t="shared" si="52"/>
        <v>8</v>
      </c>
      <c r="B352" s="105" t="s">
        <v>86</v>
      </c>
      <c r="C352" s="106" t="s">
        <v>87</v>
      </c>
      <c r="D352" s="105" t="s">
        <v>65</v>
      </c>
      <c r="E352" s="101">
        <v>10.924</v>
      </c>
      <c r="F352" s="101"/>
      <c r="G352" s="101"/>
      <c r="H352" s="101"/>
      <c r="I352" s="27">
        <f t="shared" si="53"/>
        <v>0</v>
      </c>
      <c r="J352" s="28">
        <f t="shared" si="54"/>
        <v>0</v>
      </c>
      <c r="K352" s="29">
        <f t="shared" si="55"/>
        <v>0</v>
      </c>
      <c r="L352" s="96"/>
      <c r="M352" s="86">
        <v>1</v>
      </c>
    </row>
    <row r="353" s="86" customFormat="1" ht="36" outlineLevel="2" spans="1:15">
      <c r="A353" s="103">
        <f t="shared" si="52"/>
        <v>9</v>
      </c>
      <c r="B353" s="105" t="s">
        <v>230</v>
      </c>
      <c r="C353" s="106" t="s">
        <v>231</v>
      </c>
      <c r="D353" s="105" t="s">
        <v>65</v>
      </c>
      <c r="E353" s="101">
        <f>3.95*2+5.22*3</f>
        <v>23.56</v>
      </c>
      <c r="F353" s="101"/>
      <c r="G353" s="101"/>
      <c r="H353" s="101"/>
      <c r="I353" s="27">
        <f t="shared" si="53"/>
        <v>0</v>
      </c>
      <c r="J353" s="28">
        <f t="shared" si="54"/>
        <v>0</v>
      </c>
      <c r="K353" s="29">
        <f t="shared" si="55"/>
        <v>0</v>
      </c>
      <c r="L353" s="96"/>
      <c r="M353" s="86">
        <v>1</v>
      </c>
    </row>
    <row r="354" s="86" customFormat="1" ht="36" outlineLevel="2" spans="1:15">
      <c r="A354" s="103">
        <f t="shared" si="52"/>
        <v>10</v>
      </c>
      <c r="B354" s="105" t="s">
        <v>232</v>
      </c>
      <c r="C354" s="106" t="s">
        <v>233</v>
      </c>
      <c r="D354" s="105" t="s">
        <v>65</v>
      </c>
      <c r="E354" s="101">
        <v>3.26</v>
      </c>
      <c r="F354" s="101"/>
      <c r="G354" s="101"/>
      <c r="H354" s="101"/>
      <c r="I354" s="27">
        <f t="shared" si="53"/>
        <v>0</v>
      </c>
      <c r="J354" s="28">
        <f t="shared" si="54"/>
        <v>0</v>
      </c>
      <c r="K354" s="29">
        <f t="shared" si="55"/>
        <v>0</v>
      </c>
      <c r="L354" s="96"/>
      <c r="M354" s="86">
        <v>1</v>
      </c>
    </row>
    <row r="355" s="86" customFormat="1" ht="48" outlineLevel="2" spans="1:15">
      <c r="A355" s="103">
        <f t="shared" si="52"/>
        <v>11</v>
      </c>
      <c r="B355" s="105" t="s">
        <v>94</v>
      </c>
      <c r="C355" s="106" t="s">
        <v>95</v>
      </c>
      <c r="D355" s="105" t="s">
        <v>65</v>
      </c>
      <c r="E355" s="101">
        <v>10.924</v>
      </c>
      <c r="F355" s="101"/>
      <c r="G355" s="101"/>
      <c r="H355" s="101"/>
      <c r="I355" s="27">
        <f t="shared" si="53"/>
        <v>0</v>
      </c>
      <c r="J355" s="28">
        <f t="shared" si="54"/>
        <v>0</v>
      </c>
      <c r="K355" s="29">
        <f t="shared" si="55"/>
        <v>0</v>
      </c>
      <c r="L355" s="96"/>
      <c r="M355" s="86">
        <v>1</v>
      </c>
    </row>
    <row r="356" s="86" customFormat="1" ht="36" outlineLevel="2" spans="1:15">
      <c r="A356" s="103">
        <f t="shared" si="52"/>
        <v>12</v>
      </c>
      <c r="B356" s="105" t="s">
        <v>234</v>
      </c>
      <c r="C356" s="106" t="s">
        <v>235</v>
      </c>
      <c r="D356" s="105" t="s">
        <v>58</v>
      </c>
      <c r="E356" s="101">
        <f>4.9*0.095</f>
        <v>0.4655</v>
      </c>
      <c r="F356" s="101"/>
      <c r="G356" s="101"/>
      <c r="H356" s="101"/>
      <c r="I356" s="27">
        <f t="shared" si="53"/>
        <v>0</v>
      </c>
      <c r="J356" s="28">
        <f t="shared" si="54"/>
        <v>0</v>
      </c>
      <c r="K356" s="29">
        <f t="shared" si="55"/>
        <v>0</v>
      </c>
      <c r="L356" s="96"/>
      <c r="M356" s="86">
        <v>1</v>
      </c>
    </row>
    <row r="357" s="86" customFormat="1" ht="24" customHeight="1" outlineLevel="1" spans="1:15">
      <c r="A357" s="97"/>
      <c r="B357" s="98" t="s">
        <v>96</v>
      </c>
      <c r="C357" s="99"/>
      <c r="D357" s="100"/>
      <c r="E357" s="101"/>
      <c r="F357" s="101"/>
      <c r="G357" s="101"/>
      <c r="H357" s="101"/>
      <c r="I357" s="101"/>
      <c r="J357" s="101"/>
      <c r="K357" s="102"/>
      <c r="L357" s="96"/>
    </row>
    <row r="358" s="86" customFormat="1" ht="96" outlineLevel="2" spans="1:15">
      <c r="A358" s="103">
        <f>1+N(A357)</f>
        <v>1</v>
      </c>
      <c r="B358" s="98" t="s">
        <v>97</v>
      </c>
      <c r="C358" s="108" t="s">
        <v>98</v>
      </c>
      <c r="D358" s="100" t="s">
        <v>58</v>
      </c>
      <c r="E358" s="101">
        <v>11</v>
      </c>
      <c r="F358" s="101"/>
      <c r="G358" s="101"/>
      <c r="H358" s="101"/>
      <c r="I358" s="27">
        <f>(F358+G358+H358)*$I$3</f>
        <v>0</v>
      </c>
      <c r="J358" s="28">
        <f>ROUND(SUM(F358:I358),2)</f>
        <v>0</v>
      </c>
      <c r="K358" s="29">
        <f>ROUND(J358*E358,2)</f>
        <v>0</v>
      </c>
      <c r="L358" s="96"/>
      <c r="M358" s="86">
        <v>1</v>
      </c>
    </row>
    <row r="359" s="86" customFormat="1" ht="48" outlineLevel="2" spans="1:15">
      <c r="A359" s="103">
        <f>1+N(A358)</f>
        <v>2</v>
      </c>
      <c r="B359" s="98" t="s">
        <v>99</v>
      </c>
      <c r="C359" s="108" t="s">
        <v>100</v>
      </c>
      <c r="D359" s="100" t="s">
        <v>65</v>
      </c>
      <c r="E359" s="101">
        <v>9.1</v>
      </c>
      <c r="F359" s="101"/>
      <c r="G359" s="101"/>
      <c r="H359" s="101"/>
      <c r="I359" s="27">
        <f>(F359+G359+H359)*$I$3</f>
        <v>0</v>
      </c>
      <c r="J359" s="28">
        <f>ROUND(SUM(F359:I359),2)</f>
        <v>0</v>
      </c>
      <c r="K359" s="29">
        <f>ROUND(J359*E359,2)</f>
        <v>0</v>
      </c>
      <c r="L359" s="96"/>
      <c r="M359" s="86">
        <v>1</v>
      </c>
    </row>
    <row r="360" s="86" customFormat="1" ht="48" outlineLevel="2" spans="1:15">
      <c r="A360" s="103">
        <f>1+N(A359)</f>
        <v>3</v>
      </c>
      <c r="B360" s="98" t="s">
        <v>101</v>
      </c>
      <c r="C360" s="108" t="s">
        <v>102</v>
      </c>
      <c r="D360" s="100" t="s">
        <v>65</v>
      </c>
      <c r="E360" s="101">
        <v>9.1</v>
      </c>
      <c r="F360" s="101"/>
      <c r="G360" s="101"/>
      <c r="H360" s="101"/>
      <c r="I360" s="27">
        <f>(F360+G360+H360)*$I$3</f>
        <v>0</v>
      </c>
      <c r="J360" s="28">
        <f>ROUND(SUM(F360:I360),2)</f>
        <v>0</v>
      </c>
      <c r="K360" s="29">
        <f>ROUND(J360*E360,2)</f>
        <v>0</v>
      </c>
      <c r="L360" s="96"/>
      <c r="M360" s="86">
        <v>1</v>
      </c>
    </row>
    <row r="361" s="86" customFormat="1" ht="72" customHeight="1" outlineLevel="2" spans="1:15">
      <c r="A361" s="103">
        <f>1+N(A360)</f>
        <v>4</v>
      </c>
      <c r="B361" s="98" t="s">
        <v>105</v>
      </c>
      <c r="C361" s="108" t="s">
        <v>106</v>
      </c>
      <c r="D361" s="100" t="s">
        <v>58</v>
      </c>
      <c r="E361" s="101">
        <f>11+9.1*0.3</f>
        <v>13.73</v>
      </c>
      <c r="F361" s="101"/>
      <c r="G361" s="101"/>
      <c r="H361" s="101"/>
      <c r="I361" s="27">
        <f>(F361+G361+H361)*$I$3</f>
        <v>0</v>
      </c>
      <c r="J361" s="28">
        <f>ROUND(SUM(F361:I361),2)</f>
        <v>0</v>
      </c>
      <c r="K361" s="29">
        <f>ROUND(J361*E361,2)</f>
        <v>0</v>
      </c>
      <c r="L361" s="96"/>
      <c r="M361" s="86">
        <v>1</v>
      </c>
    </row>
    <row r="362" s="86" customFormat="1" ht="24" customHeight="1" outlineLevel="1" spans="1:15">
      <c r="A362" s="97"/>
      <c r="B362" s="98" t="s">
        <v>107</v>
      </c>
      <c r="C362" s="99"/>
      <c r="D362" s="100"/>
      <c r="E362" s="101"/>
      <c r="F362" s="101"/>
      <c r="G362" s="101"/>
      <c r="H362" s="101"/>
      <c r="I362" s="101"/>
      <c r="J362" s="101"/>
      <c r="K362" s="102"/>
      <c r="L362" s="96"/>
    </row>
    <row r="363" s="86" customFormat="1" ht="36" outlineLevel="2" spans="1:15">
      <c r="A363" s="103">
        <f>1+N(A362)</f>
        <v>1</v>
      </c>
      <c r="B363" s="98" t="s">
        <v>121</v>
      </c>
      <c r="C363" s="99" t="s">
        <v>109</v>
      </c>
      <c r="D363" s="100" t="s">
        <v>58</v>
      </c>
      <c r="E363" s="101">
        <f>0.65*2.4</f>
        <v>1.56</v>
      </c>
      <c r="F363" s="101"/>
      <c r="G363" s="101"/>
      <c r="H363" s="101"/>
      <c r="I363" s="27">
        <f>(F363+G363+H363)*$I$3</f>
        <v>0</v>
      </c>
      <c r="J363" s="28">
        <f>ROUND(SUM(F363:I363),2)</f>
        <v>0</v>
      </c>
      <c r="K363" s="29">
        <f>ROUND(J363*E363,2)</f>
        <v>0</v>
      </c>
      <c r="L363" s="96"/>
      <c r="M363" s="86">
        <v>1</v>
      </c>
    </row>
    <row r="364" s="86" customFormat="1" ht="24" customHeight="1" outlineLevel="1" spans="1:15">
      <c r="A364" s="92" t="s">
        <v>114</v>
      </c>
      <c r="B364" s="93" t="s">
        <v>236</v>
      </c>
      <c r="C364" s="93"/>
      <c r="D364" s="94"/>
      <c r="E364" s="95"/>
      <c r="F364" s="95"/>
      <c r="G364" s="95"/>
      <c r="H364" s="95"/>
      <c r="I364" s="95"/>
      <c r="J364" s="95"/>
      <c r="K364" s="23"/>
      <c r="L364" s="96"/>
      <c r="O364" s="112" t="str">
        <f>_xlfn.DISPIMG("ID_6C951BC485714CB8855255795B662D86",1)</f>
        <v>=DISPIMG("ID_6C951BC485714CB8855255795B662D86",1)</v>
      </c>
    </row>
    <row r="365" s="86" customFormat="1" ht="24" customHeight="1" outlineLevel="1" spans="1:15">
      <c r="A365" s="97"/>
      <c r="B365" s="98" t="s">
        <v>55</v>
      </c>
      <c r="C365" s="99"/>
      <c r="D365" s="100"/>
      <c r="E365" s="101"/>
      <c r="F365" s="101"/>
      <c r="G365" s="101"/>
      <c r="H365" s="101"/>
      <c r="I365" s="101"/>
      <c r="J365" s="101"/>
      <c r="K365" s="102"/>
      <c r="L365" s="96"/>
    </row>
    <row r="366" s="86" customFormat="1" ht="96" outlineLevel="2" spans="1:15">
      <c r="A366" s="103">
        <f>1+N(A365)</f>
        <v>1</v>
      </c>
      <c r="B366" s="98" t="s">
        <v>215</v>
      </c>
      <c r="C366" s="99" t="s">
        <v>216</v>
      </c>
      <c r="D366" s="100" t="s">
        <v>58</v>
      </c>
      <c r="E366" s="101">
        <v>1.81</v>
      </c>
      <c r="F366" s="101"/>
      <c r="G366" s="101"/>
      <c r="H366" s="27"/>
      <c r="I366" s="27">
        <f>(F366+G366+H366)*$I$3</f>
        <v>0</v>
      </c>
      <c r="J366" s="28">
        <f>ROUND(SUM(F366:I366),2)</f>
        <v>0</v>
      </c>
      <c r="K366" s="29">
        <f>ROUND(J366*E366,2)</f>
        <v>0</v>
      </c>
      <c r="L366" s="96"/>
      <c r="M366" s="86">
        <v>1</v>
      </c>
    </row>
    <row r="367" s="86" customFormat="1" ht="96" outlineLevel="2" spans="1:15">
      <c r="A367" s="103">
        <f>1+N(A366)</f>
        <v>2</v>
      </c>
      <c r="B367" s="98" t="s">
        <v>161</v>
      </c>
      <c r="C367" s="99" t="s">
        <v>162</v>
      </c>
      <c r="D367" s="100" t="s">
        <v>58</v>
      </c>
      <c r="E367" s="101">
        <v>8.58</v>
      </c>
      <c r="F367" s="101"/>
      <c r="G367" s="101"/>
      <c r="H367" s="27"/>
      <c r="I367" s="27">
        <f>(F367+G367+H367)*$I$3</f>
        <v>0</v>
      </c>
      <c r="J367" s="28">
        <f>ROUND(SUM(F367:I367),2)</f>
        <v>0</v>
      </c>
      <c r="K367" s="29">
        <f>ROUND(J367*E367,2)</f>
        <v>0</v>
      </c>
      <c r="L367" s="96"/>
      <c r="M367" s="86">
        <v>1</v>
      </c>
    </row>
    <row r="368" s="86" customFormat="1" ht="96" outlineLevel="2" spans="1:15">
      <c r="A368" s="103">
        <f>1+N(A367)</f>
        <v>3</v>
      </c>
      <c r="B368" s="98" t="s">
        <v>217</v>
      </c>
      <c r="C368" s="99" t="s">
        <v>218</v>
      </c>
      <c r="D368" s="100" t="s">
        <v>58</v>
      </c>
      <c r="E368" s="101">
        <v>7.36</v>
      </c>
      <c r="F368" s="101"/>
      <c r="G368" s="101"/>
      <c r="H368" s="27"/>
      <c r="I368" s="27">
        <f>(F368+G368+H368)*$I$3</f>
        <v>0</v>
      </c>
      <c r="J368" s="28">
        <f>ROUND(SUM(F368:I368),2)</f>
        <v>0</v>
      </c>
      <c r="K368" s="29">
        <f>ROUND(J368*E368,2)</f>
        <v>0</v>
      </c>
      <c r="L368" s="96"/>
      <c r="M368" s="86">
        <v>1</v>
      </c>
    </row>
    <row r="369" s="86" customFormat="1" ht="36" outlineLevel="2" spans="1:13">
      <c r="A369" s="103">
        <f>1+N(A368)</f>
        <v>4</v>
      </c>
      <c r="B369" s="98" t="s">
        <v>63</v>
      </c>
      <c r="C369" s="99" t="s">
        <v>64</v>
      </c>
      <c r="D369" s="100" t="s">
        <v>65</v>
      </c>
      <c r="E369" s="101">
        <v>11.3</v>
      </c>
      <c r="F369" s="101"/>
      <c r="G369" s="101"/>
      <c r="H369" s="101"/>
      <c r="I369" s="27">
        <f>(F369+G369+H369)*$I$3</f>
        <v>0</v>
      </c>
      <c r="J369" s="28">
        <f>ROUND(SUM(F369:I369),2)</f>
        <v>0</v>
      </c>
      <c r="K369" s="29">
        <f>ROUND(J369*E369,2)</f>
        <v>0</v>
      </c>
      <c r="L369" s="96"/>
      <c r="M369" s="86">
        <v>1</v>
      </c>
    </row>
    <row r="370" s="86" customFormat="1" ht="48" outlineLevel="2" spans="1:13">
      <c r="A370" s="103">
        <f>1+N(A369)</f>
        <v>5</v>
      </c>
      <c r="B370" s="98" t="s">
        <v>66</v>
      </c>
      <c r="C370" s="99" t="s">
        <v>67</v>
      </c>
      <c r="D370" s="100" t="s">
        <v>58</v>
      </c>
      <c r="E370" s="101">
        <v>1.81</v>
      </c>
      <c r="F370" s="101"/>
      <c r="G370" s="101"/>
      <c r="H370" s="101"/>
      <c r="I370" s="27">
        <f>(F370+G370+H370)*$I$3</f>
        <v>0</v>
      </c>
      <c r="J370" s="28">
        <f>ROUND(SUM(F370:I370),2)</f>
        <v>0</v>
      </c>
      <c r="K370" s="29">
        <f>ROUND(J370*E370,2)</f>
        <v>0</v>
      </c>
      <c r="L370" s="96"/>
      <c r="M370" s="86">
        <v>1</v>
      </c>
    </row>
    <row r="371" s="86" customFormat="1" ht="24" customHeight="1" outlineLevel="1" spans="1:13">
      <c r="A371" s="97"/>
      <c r="B371" s="98" t="s">
        <v>68</v>
      </c>
      <c r="C371" s="99"/>
      <c r="D371" s="100"/>
      <c r="E371" s="101"/>
      <c r="F371" s="101"/>
      <c r="G371" s="101"/>
      <c r="H371" s="101"/>
      <c r="I371" s="101"/>
      <c r="J371" s="101"/>
      <c r="K371" s="102"/>
      <c r="L371" s="96"/>
    </row>
    <row r="372" s="86" customFormat="1" ht="60" customHeight="1" outlineLevel="2" spans="1:13">
      <c r="A372" s="103">
        <f t="shared" ref="A372:A383" si="56">1+N(A371)</f>
        <v>1</v>
      </c>
      <c r="B372" s="104" t="s">
        <v>219</v>
      </c>
      <c r="C372" s="99" t="s">
        <v>220</v>
      </c>
      <c r="D372" s="100" t="s">
        <v>58</v>
      </c>
      <c r="E372" s="101">
        <v>1.819</v>
      </c>
      <c r="F372" s="101"/>
      <c r="G372" s="101"/>
      <c r="H372" s="101"/>
      <c r="I372" s="27">
        <f t="shared" ref="I372:I383" si="57">(F372+G372+H372)*$I$3</f>
        <v>0</v>
      </c>
      <c r="J372" s="28">
        <f t="shared" ref="J372:J383" si="58">ROUND(SUM(F372:I372),2)</f>
        <v>0</v>
      </c>
      <c r="K372" s="29">
        <f t="shared" ref="K372:K383" si="59">ROUND(J372*E372,2)</f>
        <v>0</v>
      </c>
      <c r="L372" s="96"/>
      <c r="M372" s="86">
        <v>1</v>
      </c>
    </row>
    <row r="373" s="86" customFormat="1" ht="60" customHeight="1" outlineLevel="2" spans="1:13">
      <c r="A373" s="103">
        <f t="shared" si="56"/>
        <v>2</v>
      </c>
      <c r="B373" s="98" t="s">
        <v>221</v>
      </c>
      <c r="C373" s="99" t="s">
        <v>222</v>
      </c>
      <c r="D373" s="100" t="s">
        <v>58</v>
      </c>
      <c r="E373" s="101">
        <v>10.859</v>
      </c>
      <c r="F373" s="101"/>
      <c r="G373" s="101"/>
      <c r="H373" s="101"/>
      <c r="I373" s="27">
        <f t="shared" si="57"/>
        <v>0</v>
      </c>
      <c r="J373" s="28">
        <f t="shared" si="58"/>
        <v>0</v>
      </c>
      <c r="K373" s="29">
        <f t="shared" si="59"/>
        <v>0</v>
      </c>
      <c r="L373" s="96"/>
      <c r="M373" s="86">
        <v>1</v>
      </c>
    </row>
    <row r="374" s="86" customFormat="1" ht="72" outlineLevel="2" spans="1:13">
      <c r="A374" s="103">
        <f t="shared" si="56"/>
        <v>3</v>
      </c>
      <c r="B374" s="107" t="s">
        <v>223</v>
      </c>
      <c r="C374" s="99" t="s">
        <v>224</v>
      </c>
      <c r="D374" s="100" t="s">
        <v>58</v>
      </c>
      <c r="E374" s="101">
        <v>18.319</v>
      </c>
      <c r="F374" s="101"/>
      <c r="G374" s="101"/>
      <c r="H374" s="101"/>
      <c r="I374" s="27">
        <f t="shared" si="57"/>
        <v>0</v>
      </c>
      <c r="J374" s="28">
        <f t="shared" si="58"/>
        <v>0</v>
      </c>
      <c r="K374" s="29">
        <f t="shared" si="59"/>
        <v>0</v>
      </c>
      <c r="L374" s="96"/>
      <c r="M374" s="86">
        <v>1</v>
      </c>
    </row>
    <row r="375" s="86" customFormat="1" ht="60" customHeight="1" outlineLevel="2" spans="1:13">
      <c r="A375" s="103">
        <f t="shared" si="56"/>
        <v>4</v>
      </c>
      <c r="B375" s="107" t="s">
        <v>126</v>
      </c>
      <c r="C375" s="99" t="s">
        <v>225</v>
      </c>
      <c r="D375" s="100" t="s">
        <v>58</v>
      </c>
      <c r="E375" s="101">
        <f>0.355*2.4*2+0.375*0.25*3</f>
        <v>1.98525</v>
      </c>
      <c r="F375" s="101"/>
      <c r="G375" s="101"/>
      <c r="H375" s="101"/>
      <c r="I375" s="27">
        <f t="shared" si="57"/>
        <v>0</v>
      </c>
      <c r="J375" s="28">
        <f t="shared" si="58"/>
        <v>0</v>
      </c>
      <c r="K375" s="29">
        <f t="shared" si="59"/>
        <v>0</v>
      </c>
      <c r="L375" s="96"/>
      <c r="M375" s="86">
        <v>1</v>
      </c>
    </row>
    <row r="376" s="86" customFormat="1" ht="60" customHeight="1" outlineLevel="2" spans="1:13">
      <c r="A376" s="103">
        <f t="shared" si="56"/>
        <v>5</v>
      </c>
      <c r="B376" s="107" t="s">
        <v>226</v>
      </c>
      <c r="C376" s="99" t="s">
        <v>227</v>
      </c>
      <c r="D376" s="100" t="s">
        <v>58</v>
      </c>
      <c r="E376" s="101">
        <f>0.133*2+(0.59-0.05)*2+(0.78-0.05)</f>
        <v>2.076</v>
      </c>
      <c r="F376" s="101"/>
      <c r="G376" s="101"/>
      <c r="H376" s="101"/>
      <c r="I376" s="27">
        <f t="shared" si="57"/>
        <v>0</v>
      </c>
      <c r="J376" s="28">
        <f t="shared" si="58"/>
        <v>0</v>
      </c>
      <c r="K376" s="29">
        <f t="shared" si="59"/>
        <v>0</v>
      </c>
      <c r="L376" s="96"/>
      <c r="M376" s="86">
        <v>1</v>
      </c>
    </row>
    <row r="377" s="86" customFormat="1" ht="60" customHeight="1" outlineLevel="2" spans="1:13">
      <c r="A377" s="103">
        <f t="shared" si="56"/>
        <v>6</v>
      </c>
      <c r="B377" s="107" t="s">
        <v>228</v>
      </c>
      <c r="C377" s="99" t="s">
        <v>229</v>
      </c>
      <c r="D377" s="100" t="s">
        <v>58</v>
      </c>
      <c r="E377" s="101">
        <f>0.075*0.25*3</f>
        <v>0.05625</v>
      </c>
      <c r="F377" s="101"/>
      <c r="G377" s="101"/>
      <c r="H377" s="101"/>
      <c r="I377" s="27">
        <f t="shared" si="57"/>
        <v>0</v>
      </c>
      <c r="J377" s="28">
        <f t="shared" si="58"/>
        <v>0</v>
      </c>
      <c r="K377" s="29">
        <f t="shared" si="59"/>
        <v>0</v>
      </c>
      <c r="L377" s="96"/>
      <c r="M377" s="86">
        <v>1</v>
      </c>
    </row>
    <row r="378" s="86" customFormat="1" ht="60" customHeight="1" outlineLevel="2" spans="1:13">
      <c r="A378" s="103">
        <f t="shared" si="56"/>
        <v>7</v>
      </c>
      <c r="B378" s="105" t="s">
        <v>80</v>
      </c>
      <c r="C378" s="106" t="s">
        <v>81</v>
      </c>
      <c r="D378" s="105" t="s">
        <v>58</v>
      </c>
      <c r="E378" s="101">
        <f>+(0.308+0.074)*0.95*2</f>
        <v>0.7258</v>
      </c>
      <c r="F378" s="101"/>
      <c r="G378" s="101"/>
      <c r="H378" s="101"/>
      <c r="I378" s="27">
        <f t="shared" si="57"/>
        <v>0</v>
      </c>
      <c r="J378" s="28">
        <f t="shared" si="58"/>
        <v>0</v>
      </c>
      <c r="K378" s="29">
        <f t="shared" si="59"/>
        <v>0</v>
      </c>
      <c r="L378" s="96"/>
      <c r="M378" s="86">
        <v>1</v>
      </c>
    </row>
    <row r="379" s="86" customFormat="1" ht="48" outlineLevel="2" spans="1:13">
      <c r="A379" s="103">
        <f t="shared" si="56"/>
        <v>8</v>
      </c>
      <c r="B379" s="105" t="s">
        <v>86</v>
      </c>
      <c r="C379" s="106" t="s">
        <v>87</v>
      </c>
      <c r="D379" s="105" t="s">
        <v>65</v>
      </c>
      <c r="E379" s="101">
        <v>15.324</v>
      </c>
      <c r="F379" s="101"/>
      <c r="G379" s="101"/>
      <c r="H379" s="101"/>
      <c r="I379" s="27">
        <f t="shared" si="57"/>
        <v>0</v>
      </c>
      <c r="J379" s="28">
        <f t="shared" si="58"/>
        <v>0</v>
      </c>
      <c r="K379" s="29">
        <f t="shared" si="59"/>
        <v>0</v>
      </c>
      <c r="L379" s="96"/>
      <c r="M379" s="86">
        <v>1</v>
      </c>
    </row>
    <row r="380" s="86" customFormat="1" ht="36" outlineLevel="2" spans="1:13">
      <c r="A380" s="103">
        <f t="shared" si="56"/>
        <v>9</v>
      </c>
      <c r="B380" s="105" t="s">
        <v>230</v>
      </c>
      <c r="C380" s="106" t="s">
        <v>231</v>
      </c>
      <c r="D380" s="105" t="s">
        <v>65</v>
      </c>
      <c r="E380" s="101">
        <f>3.95*2+5.22*2+5.32</f>
        <v>23.66</v>
      </c>
      <c r="F380" s="101"/>
      <c r="G380" s="101"/>
      <c r="H380" s="101"/>
      <c r="I380" s="27">
        <f t="shared" si="57"/>
        <v>0</v>
      </c>
      <c r="J380" s="28">
        <f t="shared" si="58"/>
        <v>0</v>
      </c>
      <c r="K380" s="29">
        <f t="shared" si="59"/>
        <v>0</v>
      </c>
      <c r="L380" s="96"/>
      <c r="M380" s="86">
        <v>1</v>
      </c>
    </row>
    <row r="381" s="86" customFormat="1" ht="36" outlineLevel="2" spans="1:13">
      <c r="A381" s="103">
        <f t="shared" si="56"/>
        <v>10</v>
      </c>
      <c r="B381" s="105" t="s">
        <v>232</v>
      </c>
      <c r="C381" s="106" t="s">
        <v>233</v>
      </c>
      <c r="D381" s="105" t="s">
        <v>65</v>
      </c>
      <c r="E381" s="101">
        <v>4.04</v>
      </c>
      <c r="F381" s="101"/>
      <c r="G381" s="101"/>
      <c r="H381" s="101"/>
      <c r="I381" s="27">
        <f t="shared" si="57"/>
        <v>0</v>
      </c>
      <c r="J381" s="28">
        <f t="shared" si="58"/>
        <v>0</v>
      </c>
      <c r="K381" s="29">
        <f t="shared" si="59"/>
        <v>0</v>
      </c>
      <c r="L381" s="96"/>
      <c r="M381" s="86">
        <v>1</v>
      </c>
    </row>
    <row r="382" s="86" customFormat="1" ht="48" outlineLevel="2" spans="1:13">
      <c r="A382" s="103">
        <f t="shared" si="56"/>
        <v>11</v>
      </c>
      <c r="B382" s="105" t="s">
        <v>94</v>
      </c>
      <c r="C382" s="106" t="s">
        <v>95</v>
      </c>
      <c r="D382" s="105" t="s">
        <v>65</v>
      </c>
      <c r="E382" s="101">
        <v>15.324</v>
      </c>
      <c r="F382" s="101"/>
      <c r="G382" s="101"/>
      <c r="H382" s="101"/>
      <c r="I382" s="27">
        <f t="shared" si="57"/>
        <v>0</v>
      </c>
      <c r="J382" s="28">
        <f t="shared" si="58"/>
        <v>0</v>
      </c>
      <c r="K382" s="29">
        <f t="shared" si="59"/>
        <v>0</v>
      </c>
      <c r="L382" s="96"/>
      <c r="M382" s="86">
        <v>1</v>
      </c>
    </row>
    <row r="383" s="86" customFormat="1" ht="36" outlineLevel="2" spans="1:13">
      <c r="A383" s="103">
        <f t="shared" si="56"/>
        <v>12</v>
      </c>
      <c r="B383" s="105" t="s">
        <v>234</v>
      </c>
      <c r="C383" s="106" t="s">
        <v>235</v>
      </c>
      <c r="D383" s="105" t="s">
        <v>58</v>
      </c>
      <c r="E383" s="101">
        <f>7.7*0.095</f>
        <v>0.7315</v>
      </c>
      <c r="F383" s="101"/>
      <c r="G383" s="101"/>
      <c r="H383" s="101"/>
      <c r="I383" s="27">
        <f t="shared" si="57"/>
        <v>0</v>
      </c>
      <c r="J383" s="28">
        <f t="shared" si="58"/>
        <v>0</v>
      </c>
      <c r="K383" s="29">
        <f t="shared" si="59"/>
        <v>0</v>
      </c>
      <c r="L383" s="96"/>
      <c r="M383" s="86">
        <v>1</v>
      </c>
    </row>
    <row r="384" s="86" customFormat="1" ht="24" customHeight="1" outlineLevel="1" spans="1:13">
      <c r="A384" s="97"/>
      <c r="B384" s="98" t="s">
        <v>96</v>
      </c>
      <c r="C384" s="99"/>
      <c r="D384" s="100"/>
      <c r="E384" s="101"/>
      <c r="F384" s="101"/>
      <c r="G384" s="101"/>
      <c r="H384" s="101"/>
      <c r="I384" s="101"/>
      <c r="J384" s="101"/>
      <c r="K384" s="102"/>
      <c r="L384" s="96"/>
    </row>
    <row r="385" s="86" customFormat="1" ht="96" outlineLevel="2" spans="1:15">
      <c r="A385" s="103">
        <f>1+N(A384)</f>
        <v>1</v>
      </c>
      <c r="B385" s="98" t="s">
        <v>97</v>
      </c>
      <c r="C385" s="108" t="s">
        <v>98</v>
      </c>
      <c r="D385" s="100" t="s">
        <v>58</v>
      </c>
      <c r="E385" s="101">
        <v>15.94</v>
      </c>
      <c r="F385" s="101"/>
      <c r="G385" s="101"/>
      <c r="H385" s="101"/>
      <c r="I385" s="27">
        <f>(F385+G385+H385)*$I$3</f>
        <v>0</v>
      </c>
      <c r="J385" s="28">
        <f>ROUND(SUM(F385:I385),2)</f>
        <v>0</v>
      </c>
      <c r="K385" s="29">
        <f>ROUND(J385*E385,2)</f>
        <v>0</v>
      </c>
      <c r="L385" s="96"/>
      <c r="M385" s="86">
        <v>1</v>
      </c>
    </row>
    <row r="386" s="86" customFormat="1" ht="48" outlineLevel="2" spans="1:15">
      <c r="A386" s="103">
        <f>1+N(A385)</f>
        <v>2</v>
      </c>
      <c r="B386" s="98" t="s">
        <v>99</v>
      </c>
      <c r="C386" s="108" t="s">
        <v>100</v>
      </c>
      <c r="D386" s="100" t="s">
        <v>65</v>
      </c>
      <c r="E386" s="101">
        <v>9.1</v>
      </c>
      <c r="F386" s="101"/>
      <c r="G386" s="101"/>
      <c r="H386" s="101"/>
      <c r="I386" s="27">
        <f>(F386+G386+H386)*$I$3</f>
        <v>0</v>
      </c>
      <c r="J386" s="28">
        <f>ROUND(SUM(F386:I386),2)</f>
        <v>0</v>
      </c>
      <c r="K386" s="29">
        <f>ROUND(J386*E386,2)</f>
        <v>0</v>
      </c>
      <c r="L386" s="96"/>
      <c r="M386" s="86">
        <v>1</v>
      </c>
    </row>
    <row r="387" s="86" customFormat="1" ht="48" outlineLevel="2" spans="1:15">
      <c r="A387" s="103">
        <f>1+N(A386)</f>
        <v>3</v>
      </c>
      <c r="B387" s="98" t="s">
        <v>101</v>
      </c>
      <c r="C387" s="108" t="s">
        <v>102</v>
      </c>
      <c r="D387" s="100" t="s">
        <v>65</v>
      </c>
      <c r="E387" s="101">
        <v>9.1</v>
      </c>
      <c r="F387" s="101"/>
      <c r="G387" s="101"/>
      <c r="H387" s="101"/>
      <c r="I387" s="27">
        <f>(F387+G387+H387)*$I$3</f>
        <v>0</v>
      </c>
      <c r="J387" s="28">
        <f>ROUND(SUM(F387:I387),2)</f>
        <v>0</v>
      </c>
      <c r="K387" s="29">
        <f>ROUND(J387*E387,2)</f>
        <v>0</v>
      </c>
      <c r="L387" s="96"/>
      <c r="M387" s="86">
        <v>1</v>
      </c>
    </row>
    <row r="388" s="86" customFormat="1" ht="72" customHeight="1" outlineLevel="2" spans="1:15">
      <c r="A388" s="103">
        <f>1+N(A387)</f>
        <v>4</v>
      </c>
      <c r="B388" s="98" t="s">
        <v>105</v>
      </c>
      <c r="C388" s="108" t="s">
        <v>106</v>
      </c>
      <c r="D388" s="100" t="s">
        <v>58</v>
      </c>
      <c r="E388" s="101">
        <f>15.94+9.1*0.3</f>
        <v>18.67</v>
      </c>
      <c r="F388" s="101"/>
      <c r="G388" s="101"/>
      <c r="H388" s="101"/>
      <c r="I388" s="27">
        <f>(F388+G388+H388)*$I$3</f>
        <v>0</v>
      </c>
      <c r="J388" s="28">
        <f>ROUND(SUM(F388:I388),2)</f>
        <v>0</v>
      </c>
      <c r="K388" s="29">
        <f>ROUND(J388*E388,2)</f>
        <v>0</v>
      </c>
      <c r="L388" s="96"/>
      <c r="M388" s="86">
        <v>1</v>
      </c>
    </row>
    <row r="389" s="86" customFormat="1" ht="24" customHeight="1" outlineLevel="1" spans="1:15">
      <c r="A389" s="97"/>
      <c r="B389" s="98" t="s">
        <v>107</v>
      </c>
      <c r="C389" s="99"/>
      <c r="D389" s="100"/>
      <c r="E389" s="101"/>
      <c r="F389" s="101"/>
      <c r="G389" s="101"/>
      <c r="H389" s="101"/>
      <c r="I389" s="101"/>
      <c r="J389" s="101"/>
      <c r="K389" s="102"/>
      <c r="L389" s="96"/>
    </row>
    <row r="390" s="86" customFormat="1" ht="36" outlineLevel="2" spans="1:15">
      <c r="A390" s="103">
        <f>1+N(A389)</f>
        <v>1</v>
      </c>
      <c r="B390" s="98" t="s">
        <v>121</v>
      </c>
      <c r="C390" s="99" t="s">
        <v>109</v>
      </c>
      <c r="D390" s="100" t="s">
        <v>58</v>
      </c>
      <c r="E390" s="101">
        <f>0.7*2.4</f>
        <v>1.68</v>
      </c>
      <c r="F390" s="101"/>
      <c r="G390" s="101"/>
      <c r="H390" s="101"/>
      <c r="I390" s="27">
        <f>(F390+G390+H390)*$I$3</f>
        <v>0</v>
      </c>
      <c r="J390" s="28">
        <f>ROUND(SUM(F390:I390),2)</f>
        <v>0</v>
      </c>
      <c r="K390" s="29">
        <f>ROUND(J390*E390,2)</f>
        <v>0</v>
      </c>
      <c r="L390" s="96"/>
      <c r="M390" s="86">
        <v>1</v>
      </c>
    </row>
    <row r="391" s="86" customFormat="1" ht="24" customHeight="1" outlineLevel="1" spans="1:15">
      <c r="A391" s="92" t="s">
        <v>122</v>
      </c>
      <c r="B391" s="93" t="s">
        <v>237</v>
      </c>
      <c r="C391" s="93"/>
      <c r="D391" s="94"/>
      <c r="E391" s="95"/>
      <c r="F391" s="95"/>
      <c r="G391" s="95"/>
      <c r="H391" s="95"/>
      <c r="I391" s="95"/>
      <c r="J391" s="95"/>
      <c r="K391" s="23"/>
      <c r="L391" s="96"/>
      <c r="O391" s="112" t="str">
        <f>_xlfn.DISPIMG("ID_DBFEAA07FA77407EA27001577B1036D1",1)</f>
        <v>=DISPIMG("ID_DBFEAA07FA77407EA27001577B1036D1",1)</v>
      </c>
    </row>
    <row r="392" s="86" customFormat="1" ht="24" customHeight="1" outlineLevel="1" spans="1:15">
      <c r="A392" s="97"/>
      <c r="B392" s="98" t="s">
        <v>55</v>
      </c>
      <c r="C392" s="99"/>
      <c r="D392" s="100"/>
      <c r="E392" s="101"/>
      <c r="F392" s="101"/>
      <c r="G392" s="101"/>
      <c r="H392" s="101"/>
      <c r="I392" s="101"/>
      <c r="J392" s="101"/>
      <c r="K392" s="102"/>
      <c r="L392" s="96"/>
    </row>
    <row r="393" s="86" customFormat="1" ht="96" outlineLevel="2" spans="1:15">
      <c r="A393" s="103">
        <f>1+N(A392)</f>
        <v>1</v>
      </c>
      <c r="B393" s="98" t="s">
        <v>215</v>
      </c>
      <c r="C393" s="99" t="s">
        <v>216</v>
      </c>
      <c r="D393" s="100" t="s">
        <v>58</v>
      </c>
      <c r="E393" s="101">
        <v>1.32</v>
      </c>
      <c r="F393" s="101"/>
      <c r="G393" s="101"/>
      <c r="H393" s="27"/>
      <c r="I393" s="27">
        <f>(F393+G393+H393)*$I$3</f>
        <v>0</v>
      </c>
      <c r="J393" s="28">
        <f>ROUND(SUM(F393:I393),2)</f>
        <v>0</v>
      </c>
      <c r="K393" s="29">
        <f>ROUND(J393*E393,2)</f>
        <v>0</v>
      </c>
      <c r="L393" s="96"/>
      <c r="M393" s="86">
        <v>1</v>
      </c>
    </row>
    <row r="394" s="86" customFormat="1" ht="96" outlineLevel="2" spans="1:15">
      <c r="A394" s="103">
        <f>1+N(A393)</f>
        <v>2</v>
      </c>
      <c r="B394" s="98" t="s">
        <v>161</v>
      </c>
      <c r="C394" s="99" t="s">
        <v>162</v>
      </c>
      <c r="D394" s="100" t="s">
        <v>58</v>
      </c>
      <c r="E394" s="101">
        <v>5.88</v>
      </c>
      <c r="F394" s="101"/>
      <c r="G394" s="101"/>
      <c r="H394" s="27"/>
      <c r="I394" s="27">
        <f>(F394+G394+H394)*$I$3</f>
        <v>0</v>
      </c>
      <c r="J394" s="28">
        <f>ROUND(SUM(F394:I394),2)</f>
        <v>0</v>
      </c>
      <c r="K394" s="29">
        <f>ROUND(J394*E394,2)</f>
        <v>0</v>
      </c>
      <c r="L394" s="96"/>
      <c r="M394" s="86">
        <v>1</v>
      </c>
    </row>
    <row r="395" s="86" customFormat="1" ht="96" outlineLevel="2" spans="1:15">
      <c r="A395" s="103">
        <f>1+N(A394)</f>
        <v>3</v>
      </c>
      <c r="B395" s="98" t="s">
        <v>217</v>
      </c>
      <c r="C395" s="99" t="s">
        <v>218</v>
      </c>
      <c r="D395" s="100" t="s">
        <v>58</v>
      </c>
      <c r="E395" s="101">
        <v>4.66</v>
      </c>
      <c r="F395" s="101"/>
      <c r="G395" s="101"/>
      <c r="H395" s="27"/>
      <c r="I395" s="27">
        <f>(F395+G395+H395)*$I$3</f>
        <v>0</v>
      </c>
      <c r="J395" s="28">
        <f>ROUND(SUM(F395:I395),2)</f>
        <v>0</v>
      </c>
      <c r="K395" s="29">
        <f>ROUND(J395*E395,2)</f>
        <v>0</v>
      </c>
      <c r="L395" s="96"/>
      <c r="M395" s="86">
        <v>1</v>
      </c>
    </row>
    <row r="396" s="86" customFormat="1" ht="36" outlineLevel="2" spans="1:15">
      <c r="A396" s="103">
        <f>1+N(A395)</f>
        <v>4</v>
      </c>
      <c r="B396" s="98" t="s">
        <v>63</v>
      </c>
      <c r="C396" s="99" t="s">
        <v>64</v>
      </c>
      <c r="D396" s="100" t="s">
        <v>65</v>
      </c>
      <c r="E396" s="101">
        <v>8.45</v>
      </c>
      <c r="F396" s="101"/>
      <c r="G396" s="101"/>
      <c r="H396" s="101"/>
      <c r="I396" s="27">
        <f>(F396+G396+H396)*$I$3</f>
        <v>0</v>
      </c>
      <c r="J396" s="28">
        <f>ROUND(SUM(F396:I396),2)</f>
        <v>0</v>
      </c>
      <c r="K396" s="29">
        <f>ROUND(J396*E396,2)</f>
        <v>0</v>
      </c>
      <c r="L396" s="96"/>
      <c r="M396" s="86">
        <v>1</v>
      </c>
    </row>
    <row r="397" s="86" customFormat="1" ht="48" outlineLevel="2" spans="1:15">
      <c r="A397" s="103">
        <f>1+N(A396)</f>
        <v>5</v>
      </c>
      <c r="B397" s="98" t="s">
        <v>66</v>
      </c>
      <c r="C397" s="99" t="s">
        <v>67</v>
      </c>
      <c r="D397" s="100" t="s">
        <v>58</v>
      </c>
      <c r="E397" s="101">
        <v>1.32</v>
      </c>
      <c r="F397" s="101"/>
      <c r="G397" s="101"/>
      <c r="H397" s="101"/>
      <c r="I397" s="27">
        <f>(F397+G397+H397)*$I$3</f>
        <v>0</v>
      </c>
      <c r="J397" s="28">
        <f>ROUND(SUM(F397:I397),2)</f>
        <v>0</v>
      </c>
      <c r="K397" s="29">
        <f>ROUND(J397*E397,2)</f>
        <v>0</v>
      </c>
      <c r="L397" s="96"/>
      <c r="M397" s="86">
        <v>1</v>
      </c>
    </row>
    <row r="398" s="86" customFormat="1" ht="24" customHeight="1" outlineLevel="1" spans="1:15">
      <c r="A398" s="97"/>
      <c r="B398" s="98" t="s">
        <v>68</v>
      </c>
      <c r="C398" s="99"/>
      <c r="D398" s="100"/>
      <c r="E398" s="101"/>
      <c r="F398" s="101"/>
      <c r="G398" s="101"/>
      <c r="H398" s="101"/>
      <c r="I398" s="101"/>
      <c r="J398" s="101"/>
      <c r="K398" s="102"/>
      <c r="L398" s="96"/>
    </row>
    <row r="399" s="86" customFormat="1" ht="60" customHeight="1" outlineLevel="2" spans="1:15">
      <c r="A399" s="103">
        <f t="shared" ref="A399:A410" si="60">1+N(A398)</f>
        <v>1</v>
      </c>
      <c r="B399" s="104" t="s">
        <v>219</v>
      </c>
      <c r="C399" s="99" t="s">
        <v>220</v>
      </c>
      <c r="D399" s="100" t="s">
        <v>58</v>
      </c>
      <c r="E399" s="101">
        <v>1.613</v>
      </c>
      <c r="F399" s="101"/>
      <c r="G399" s="101"/>
      <c r="H399" s="101"/>
      <c r="I399" s="27">
        <f t="shared" ref="I399:I410" si="61">(F399+G399+H399)*$I$3</f>
        <v>0</v>
      </c>
      <c r="J399" s="28">
        <f t="shared" ref="J399:J410" si="62">ROUND(SUM(F399:I399),2)</f>
        <v>0</v>
      </c>
      <c r="K399" s="29">
        <f t="shared" ref="K399:K410" si="63">ROUND(J399*E399,2)</f>
        <v>0</v>
      </c>
      <c r="L399" s="96"/>
      <c r="M399" s="86">
        <v>1</v>
      </c>
    </row>
    <row r="400" s="86" customFormat="1" ht="60" customHeight="1" outlineLevel="2" spans="1:15">
      <c r="A400" s="103">
        <f t="shared" si="60"/>
        <v>2</v>
      </c>
      <c r="B400" s="98" t="s">
        <v>221</v>
      </c>
      <c r="C400" s="99" t="s">
        <v>222</v>
      </c>
      <c r="D400" s="100" t="s">
        <v>58</v>
      </c>
      <c r="E400" s="101">
        <v>9.985</v>
      </c>
      <c r="F400" s="101"/>
      <c r="G400" s="101"/>
      <c r="H400" s="101"/>
      <c r="I400" s="27">
        <f t="shared" si="61"/>
        <v>0</v>
      </c>
      <c r="J400" s="28">
        <f t="shared" si="62"/>
        <v>0</v>
      </c>
      <c r="K400" s="29">
        <f t="shared" si="63"/>
        <v>0</v>
      </c>
      <c r="L400" s="96"/>
      <c r="M400" s="86">
        <v>1</v>
      </c>
    </row>
    <row r="401" s="86" customFormat="1" ht="72" outlineLevel="2" spans="1:13">
      <c r="A401" s="103">
        <f t="shared" si="60"/>
        <v>3</v>
      </c>
      <c r="B401" s="107" t="s">
        <v>223</v>
      </c>
      <c r="C401" s="99" t="s">
        <v>224</v>
      </c>
      <c r="D401" s="100" t="s">
        <v>58</v>
      </c>
      <c r="E401" s="101">
        <v>10.962</v>
      </c>
      <c r="F401" s="101"/>
      <c r="G401" s="101"/>
      <c r="H401" s="101"/>
      <c r="I401" s="27">
        <f t="shared" si="61"/>
        <v>0</v>
      </c>
      <c r="J401" s="28">
        <f t="shared" si="62"/>
        <v>0</v>
      </c>
      <c r="K401" s="29">
        <f t="shared" si="63"/>
        <v>0</v>
      </c>
      <c r="L401" s="96"/>
      <c r="M401" s="86">
        <v>1</v>
      </c>
    </row>
    <row r="402" s="86" customFormat="1" ht="60" customHeight="1" outlineLevel="2" spans="1:13">
      <c r="A402" s="103">
        <f t="shared" si="60"/>
        <v>4</v>
      </c>
      <c r="B402" s="107" t="s">
        <v>126</v>
      </c>
      <c r="C402" s="99" t="s">
        <v>225</v>
      </c>
      <c r="D402" s="100" t="s">
        <v>58</v>
      </c>
      <c r="E402" s="101">
        <f>0.355*2.4*2+0.375*0.25*3</f>
        <v>1.98525</v>
      </c>
      <c r="F402" s="101"/>
      <c r="G402" s="101"/>
      <c r="H402" s="101"/>
      <c r="I402" s="27">
        <f t="shared" si="61"/>
        <v>0</v>
      </c>
      <c r="J402" s="28">
        <f t="shared" si="62"/>
        <v>0</v>
      </c>
      <c r="K402" s="29">
        <f t="shared" si="63"/>
        <v>0</v>
      </c>
      <c r="L402" s="96"/>
      <c r="M402" s="86">
        <v>1</v>
      </c>
    </row>
    <row r="403" s="86" customFormat="1" ht="60" customHeight="1" outlineLevel="2" spans="1:13">
      <c r="A403" s="103">
        <f t="shared" si="60"/>
        <v>5</v>
      </c>
      <c r="B403" s="107" t="s">
        <v>226</v>
      </c>
      <c r="C403" s="99" t="s">
        <v>227</v>
      </c>
      <c r="D403" s="100" t="s">
        <v>58</v>
      </c>
      <c r="E403" s="101">
        <f>0.133*2+(0.59-0.05)*3</f>
        <v>1.886</v>
      </c>
      <c r="F403" s="101"/>
      <c r="G403" s="101"/>
      <c r="H403" s="101"/>
      <c r="I403" s="27">
        <f t="shared" si="61"/>
        <v>0</v>
      </c>
      <c r="J403" s="28">
        <f t="shared" si="62"/>
        <v>0</v>
      </c>
      <c r="K403" s="29">
        <f t="shared" si="63"/>
        <v>0</v>
      </c>
      <c r="L403" s="96"/>
      <c r="M403" s="86">
        <v>1</v>
      </c>
    </row>
    <row r="404" s="86" customFormat="1" ht="60" customHeight="1" outlineLevel="2" spans="1:13">
      <c r="A404" s="103">
        <f t="shared" si="60"/>
        <v>6</v>
      </c>
      <c r="B404" s="107" t="s">
        <v>228</v>
      </c>
      <c r="C404" s="99" t="s">
        <v>229</v>
      </c>
      <c r="D404" s="100" t="s">
        <v>58</v>
      </c>
      <c r="E404" s="101">
        <f>0.075*0.25*3</f>
        <v>0.05625</v>
      </c>
      <c r="F404" s="101"/>
      <c r="G404" s="101"/>
      <c r="H404" s="101"/>
      <c r="I404" s="27">
        <f t="shared" si="61"/>
        <v>0</v>
      </c>
      <c r="J404" s="28">
        <f t="shared" si="62"/>
        <v>0</v>
      </c>
      <c r="K404" s="29">
        <f t="shared" si="63"/>
        <v>0</v>
      </c>
      <c r="L404" s="96"/>
      <c r="M404" s="86">
        <v>1</v>
      </c>
    </row>
    <row r="405" s="86" customFormat="1" ht="60" customHeight="1" outlineLevel="2" spans="1:13">
      <c r="A405" s="103">
        <f t="shared" si="60"/>
        <v>7</v>
      </c>
      <c r="B405" s="105" t="s">
        <v>80</v>
      </c>
      <c r="C405" s="106" t="s">
        <v>81</v>
      </c>
      <c r="D405" s="105" t="s">
        <v>58</v>
      </c>
      <c r="E405" s="101">
        <f>+(0.308+0.074)*0.95*2</f>
        <v>0.7258</v>
      </c>
      <c r="F405" s="101"/>
      <c r="G405" s="101"/>
      <c r="H405" s="101"/>
      <c r="I405" s="27">
        <f t="shared" si="61"/>
        <v>0</v>
      </c>
      <c r="J405" s="28">
        <f t="shared" si="62"/>
        <v>0</v>
      </c>
      <c r="K405" s="29">
        <f t="shared" si="63"/>
        <v>0</v>
      </c>
      <c r="L405" s="96"/>
      <c r="M405" s="86">
        <v>1</v>
      </c>
    </row>
    <row r="406" s="86" customFormat="1" ht="48" outlineLevel="2" spans="1:13">
      <c r="A406" s="103">
        <f t="shared" si="60"/>
        <v>8</v>
      </c>
      <c r="B406" s="105" t="s">
        <v>86</v>
      </c>
      <c r="C406" s="106" t="s">
        <v>87</v>
      </c>
      <c r="D406" s="105" t="s">
        <v>65</v>
      </c>
      <c r="E406" s="101">
        <v>10.944</v>
      </c>
      <c r="F406" s="101"/>
      <c r="G406" s="101"/>
      <c r="H406" s="101"/>
      <c r="I406" s="27">
        <f t="shared" si="61"/>
        <v>0</v>
      </c>
      <c r="J406" s="28">
        <f t="shared" si="62"/>
        <v>0</v>
      </c>
      <c r="K406" s="29">
        <f t="shared" si="63"/>
        <v>0</v>
      </c>
      <c r="L406" s="96"/>
      <c r="M406" s="86">
        <v>1</v>
      </c>
    </row>
    <row r="407" s="86" customFormat="1" ht="36" outlineLevel="2" spans="1:13">
      <c r="A407" s="103">
        <f t="shared" si="60"/>
        <v>9</v>
      </c>
      <c r="B407" s="105" t="s">
        <v>230</v>
      </c>
      <c r="C407" s="106" t="s">
        <v>231</v>
      </c>
      <c r="D407" s="105" t="s">
        <v>65</v>
      </c>
      <c r="E407" s="101">
        <f>3.95*2+5.22*3</f>
        <v>23.56</v>
      </c>
      <c r="F407" s="101"/>
      <c r="G407" s="101"/>
      <c r="H407" s="101"/>
      <c r="I407" s="27">
        <f t="shared" si="61"/>
        <v>0</v>
      </c>
      <c r="J407" s="28">
        <f t="shared" si="62"/>
        <v>0</v>
      </c>
      <c r="K407" s="29">
        <f t="shared" si="63"/>
        <v>0</v>
      </c>
      <c r="L407" s="96"/>
      <c r="M407" s="86">
        <v>1</v>
      </c>
    </row>
    <row r="408" s="86" customFormat="1" ht="36" outlineLevel="2" spans="1:13">
      <c r="A408" s="103">
        <f t="shared" si="60"/>
        <v>10</v>
      </c>
      <c r="B408" s="105" t="s">
        <v>232</v>
      </c>
      <c r="C408" s="106" t="s">
        <v>233</v>
      </c>
      <c r="D408" s="105" t="s">
        <v>65</v>
      </c>
      <c r="E408" s="101">
        <v>3.226</v>
      </c>
      <c r="F408" s="101"/>
      <c r="G408" s="101"/>
      <c r="H408" s="101"/>
      <c r="I408" s="27">
        <f t="shared" si="61"/>
        <v>0</v>
      </c>
      <c r="J408" s="28">
        <f t="shared" si="62"/>
        <v>0</v>
      </c>
      <c r="K408" s="29">
        <f t="shared" si="63"/>
        <v>0</v>
      </c>
      <c r="L408" s="96"/>
      <c r="M408" s="86">
        <v>1</v>
      </c>
    </row>
    <row r="409" s="86" customFormat="1" ht="48" outlineLevel="2" spans="1:13">
      <c r="A409" s="103">
        <f t="shared" si="60"/>
        <v>11</v>
      </c>
      <c r="B409" s="105" t="s">
        <v>94</v>
      </c>
      <c r="C409" s="106" t="s">
        <v>95</v>
      </c>
      <c r="D409" s="105" t="s">
        <v>65</v>
      </c>
      <c r="E409" s="101">
        <v>10.944</v>
      </c>
      <c r="F409" s="101"/>
      <c r="G409" s="101"/>
      <c r="H409" s="101"/>
      <c r="I409" s="27">
        <f t="shared" si="61"/>
        <v>0</v>
      </c>
      <c r="J409" s="28">
        <f t="shared" si="62"/>
        <v>0</v>
      </c>
      <c r="K409" s="29">
        <f t="shared" si="63"/>
        <v>0</v>
      </c>
      <c r="L409" s="96"/>
      <c r="M409" s="86">
        <v>1</v>
      </c>
    </row>
    <row r="410" s="86" customFormat="1" ht="36" outlineLevel="2" spans="1:13">
      <c r="A410" s="103">
        <f t="shared" si="60"/>
        <v>12</v>
      </c>
      <c r="B410" s="105" t="s">
        <v>234</v>
      </c>
      <c r="C410" s="106" t="s">
        <v>235</v>
      </c>
      <c r="D410" s="105" t="s">
        <v>58</v>
      </c>
      <c r="E410" s="101">
        <f>4.9*0.095</f>
        <v>0.4655</v>
      </c>
      <c r="F410" s="101"/>
      <c r="G410" s="101"/>
      <c r="H410" s="101"/>
      <c r="I410" s="27">
        <f t="shared" si="61"/>
        <v>0</v>
      </c>
      <c r="J410" s="28">
        <f t="shared" si="62"/>
        <v>0</v>
      </c>
      <c r="K410" s="29">
        <f t="shared" si="63"/>
        <v>0</v>
      </c>
      <c r="L410" s="96"/>
      <c r="M410" s="86">
        <v>1</v>
      </c>
    </row>
    <row r="411" s="86" customFormat="1" ht="24" customHeight="1" outlineLevel="1" spans="1:13">
      <c r="A411" s="97"/>
      <c r="B411" s="98" t="s">
        <v>96</v>
      </c>
      <c r="C411" s="99"/>
      <c r="D411" s="100"/>
      <c r="E411" s="101"/>
      <c r="F411" s="101"/>
      <c r="G411" s="101"/>
      <c r="H411" s="101"/>
      <c r="I411" s="101"/>
      <c r="J411" s="101"/>
      <c r="K411" s="102"/>
      <c r="L411" s="96"/>
    </row>
    <row r="412" s="86" customFormat="1" ht="96" outlineLevel="2" spans="1:13">
      <c r="A412" s="103">
        <f>1+N(A411)</f>
        <v>1</v>
      </c>
      <c r="B412" s="98" t="s">
        <v>97</v>
      </c>
      <c r="C412" s="108" t="s">
        <v>98</v>
      </c>
      <c r="D412" s="100" t="s">
        <v>58</v>
      </c>
      <c r="E412" s="101">
        <v>10.54</v>
      </c>
      <c r="F412" s="101"/>
      <c r="G412" s="101"/>
      <c r="H412" s="101"/>
      <c r="I412" s="27">
        <f>(F412+G412+H412)*$I$3</f>
        <v>0</v>
      </c>
      <c r="J412" s="28">
        <f>ROUND(SUM(F412:I412),2)</f>
        <v>0</v>
      </c>
      <c r="K412" s="29">
        <f>ROUND(J412*E412,2)</f>
        <v>0</v>
      </c>
      <c r="L412" s="96"/>
      <c r="M412" s="86">
        <v>1</v>
      </c>
    </row>
    <row r="413" s="86" customFormat="1" ht="48" outlineLevel="2" spans="1:13">
      <c r="A413" s="103">
        <f>1+N(A412)</f>
        <v>2</v>
      </c>
      <c r="B413" s="98" t="s">
        <v>99</v>
      </c>
      <c r="C413" s="108" t="s">
        <v>100</v>
      </c>
      <c r="D413" s="100" t="s">
        <v>65</v>
      </c>
      <c r="E413" s="101">
        <v>9.1</v>
      </c>
      <c r="F413" s="101"/>
      <c r="G413" s="101"/>
      <c r="H413" s="101"/>
      <c r="I413" s="27">
        <f>(F413+G413+H413)*$I$3</f>
        <v>0</v>
      </c>
      <c r="J413" s="28">
        <f>ROUND(SUM(F413:I413),2)</f>
        <v>0</v>
      </c>
      <c r="K413" s="29">
        <f>ROUND(J413*E413,2)</f>
        <v>0</v>
      </c>
      <c r="L413" s="96"/>
      <c r="M413" s="86">
        <v>1</v>
      </c>
    </row>
    <row r="414" s="86" customFormat="1" ht="48" outlineLevel="2" spans="1:13">
      <c r="A414" s="103">
        <f>1+N(A413)</f>
        <v>3</v>
      </c>
      <c r="B414" s="98" t="s">
        <v>101</v>
      </c>
      <c r="C414" s="108" t="s">
        <v>102</v>
      </c>
      <c r="D414" s="100" t="s">
        <v>65</v>
      </c>
      <c r="E414" s="101">
        <v>9.1</v>
      </c>
      <c r="F414" s="101"/>
      <c r="G414" s="101"/>
      <c r="H414" s="101"/>
      <c r="I414" s="27">
        <f>(F414+G414+H414)*$I$3</f>
        <v>0</v>
      </c>
      <c r="J414" s="28">
        <f>ROUND(SUM(F414:I414),2)</f>
        <v>0</v>
      </c>
      <c r="K414" s="29">
        <f>ROUND(J414*E414,2)</f>
        <v>0</v>
      </c>
      <c r="L414" s="96"/>
      <c r="M414" s="86">
        <v>1</v>
      </c>
    </row>
    <row r="415" s="86" customFormat="1" ht="72" customHeight="1" outlineLevel="2" spans="1:13">
      <c r="A415" s="103">
        <f>1+N(A414)</f>
        <v>4</v>
      </c>
      <c r="B415" s="98" t="s">
        <v>105</v>
      </c>
      <c r="C415" s="108" t="s">
        <v>106</v>
      </c>
      <c r="D415" s="100" t="s">
        <v>58</v>
      </c>
      <c r="E415" s="101">
        <f>10.54+9.1*0.3</f>
        <v>13.27</v>
      </c>
      <c r="F415" s="101"/>
      <c r="G415" s="101"/>
      <c r="H415" s="101"/>
      <c r="I415" s="27">
        <f>(F415+G415+H415)*$I$3</f>
        <v>0</v>
      </c>
      <c r="J415" s="28">
        <f>ROUND(SUM(F415:I415),2)</f>
        <v>0</v>
      </c>
      <c r="K415" s="29">
        <f>ROUND(J415*E415,2)</f>
        <v>0</v>
      </c>
      <c r="L415" s="96"/>
      <c r="M415" s="86">
        <v>1</v>
      </c>
    </row>
    <row r="416" s="86" customFormat="1" ht="24" customHeight="1" outlineLevel="1" spans="1:13">
      <c r="A416" s="97"/>
      <c r="B416" s="98" t="s">
        <v>107</v>
      </c>
      <c r="C416" s="99"/>
      <c r="D416" s="100"/>
      <c r="E416" s="101"/>
      <c r="F416" s="101"/>
      <c r="G416" s="101"/>
      <c r="H416" s="101"/>
      <c r="I416" s="101"/>
      <c r="J416" s="101"/>
      <c r="K416" s="102"/>
      <c r="L416" s="96"/>
    </row>
    <row r="417" s="86" customFormat="1" ht="36" outlineLevel="2" spans="1:15">
      <c r="A417" s="103">
        <f>1+N(A416)</f>
        <v>1</v>
      </c>
      <c r="B417" s="98" t="s">
        <v>121</v>
      </c>
      <c r="C417" s="99" t="s">
        <v>109</v>
      </c>
      <c r="D417" s="100" t="s">
        <v>58</v>
      </c>
      <c r="E417" s="101">
        <f>0.65*2.4</f>
        <v>1.56</v>
      </c>
      <c r="F417" s="101"/>
      <c r="G417" s="101"/>
      <c r="H417" s="101"/>
      <c r="I417" s="27">
        <f>(F417+G417+H417)*$I$3</f>
        <v>0</v>
      </c>
      <c r="J417" s="28">
        <f>ROUND(SUM(F417:I417),2)</f>
        <v>0</v>
      </c>
      <c r="K417" s="29">
        <f>ROUND(J417*E417,2)</f>
        <v>0</v>
      </c>
      <c r="L417" s="96"/>
      <c r="M417" s="86">
        <v>1</v>
      </c>
    </row>
    <row r="418" s="86" customFormat="1" ht="24" customHeight="1" outlineLevel="1" spans="1:15">
      <c r="A418" s="92" t="s">
        <v>134</v>
      </c>
      <c r="B418" s="93" t="s">
        <v>238</v>
      </c>
      <c r="C418" s="93"/>
      <c r="D418" s="94"/>
      <c r="E418" s="95"/>
      <c r="F418" s="95"/>
      <c r="G418" s="95"/>
      <c r="H418" s="95"/>
      <c r="I418" s="95"/>
      <c r="J418" s="95"/>
      <c r="K418" s="23"/>
      <c r="L418" s="96"/>
      <c r="O418" s="112" t="str">
        <f>_xlfn.DISPIMG("ID_24328C5063D944AFA020B812A59D7790",1)</f>
        <v>=DISPIMG("ID_24328C5063D944AFA020B812A59D7790",1)</v>
      </c>
    </row>
    <row r="419" s="86" customFormat="1" ht="24" customHeight="1" outlineLevel="1" spans="1:15">
      <c r="A419" s="97"/>
      <c r="B419" s="98" t="s">
        <v>55</v>
      </c>
      <c r="C419" s="99"/>
      <c r="D419" s="100"/>
      <c r="E419" s="101"/>
      <c r="F419" s="101"/>
      <c r="G419" s="101"/>
      <c r="H419" s="101"/>
      <c r="I419" s="101"/>
      <c r="J419" s="101"/>
      <c r="K419" s="102"/>
      <c r="L419" s="96"/>
    </row>
    <row r="420" s="86" customFormat="1" ht="96" outlineLevel="2" spans="1:15">
      <c r="A420" s="103">
        <f>1+N(A419)</f>
        <v>1</v>
      </c>
      <c r="B420" s="98" t="s">
        <v>215</v>
      </c>
      <c r="C420" s="99" t="s">
        <v>216</v>
      </c>
      <c r="D420" s="100" t="s">
        <v>58</v>
      </c>
      <c r="E420" s="101">
        <v>1.75</v>
      </c>
      <c r="F420" s="101"/>
      <c r="G420" s="101"/>
      <c r="H420" s="27"/>
      <c r="I420" s="27">
        <f>(F420+G420+H420)*$I$3</f>
        <v>0</v>
      </c>
      <c r="J420" s="28">
        <f>ROUND(SUM(F420:I420),2)</f>
        <v>0</v>
      </c>
      <c r="K420" s="29">
        <f>ROUND(J420*E420,2)</f>
        <v>0</v>
      </c>
      <c r="L420" s="96"/>
      <c r="M420" s="86">
        <v>1</v>
      </c>
    </row>
    <row r="421" s="86" customFormat="1" ht="96" outlineLevel="2" spans="1:15">
      <c r="A421" s="103">
        <f>1+N(A420)</f>
        <v>2</v>
      </c>
      <c r="B421" s="98" t="s">
        <v>161</v>
      </c>
      <c r="C421" s="99" t="s">
        <v>162</v>
      </c>
      <c r="D421" s="100" t="s">
        <v>58</v>
      </c>
      <c r="E421" s="101">
        <v>8.2</v>
      </c>
      <c r="F421" s="101"/>
      <c r="G421" s="101"/>
      <c r="H421" s="27"/>
      <c r="I421" s="27">
        <f>(F421+G421+H421)*$I$3</f>
        <v>0</v>
      </c>
      <c r="J421" s="28">
        <f>ROUND(SUM(F421:I421),2)</f>
        <v>0</v>
      </c>
      <c r="K421" s="29">
        <f>ROUND(J421*E421,2)</f>
        <v>0</v>
      </c>
      <c r="L421" s="96"/>
      <c r="M421" s="86">
        <v>1</v>
      </c>
    </row>
    <row r="422" s="86" customFormat="1" ht="96" outlineLevel="2" spans="1:15">
      <c r="A422" s="103">
        <f>1+N(A421)</f>
        <v>3</v>
      </c>
      <c r="B422" s="98" t="s">
        <v>217</v>
      </c>
      <c r="C422" s="99" t="s">
        <v>218</v>
      </c>
      <c r="D422" s="100" t="s">
        <v>58</v>
      </c>
      <c r="E422" s="101">
        <v>7.5</v>
      </c>
      <c r="F422" s="101"/>
      <c r="G422" s="101"/>
      <c r="H422" s="27"/>
      <c r="I422" s="27">
        <f>(F422+G422+H422)*$I$3</f>
        <v>0</v>
      </c>
      <c r="J422" s="28">
        <f>ROUND(SUM(F422:I422),2)</f>
        <v>0</v>
      </c>
      <c r="K422" s="29">
        <f>ROUND(J422*E422,2)</f>
        <v>0</v>
      </c>
      <c r="L422" s="96"/>
      <c r="M422" s="86">
        <v>1</v>
      </c>
    </row>
    <row r="423" s="86" customFormat="1" ht="36" outlineLevel="2" spans="1:15">
      <c r="A423" s="103">
        <f>1+N(A422)</f>
        <v>4</v>
      </c>
      <c r="B423" s="98" t="s">
        <v>63</v>
      </c>
      <c r="C423" s="99" t="s">
        <v>64</v>
      </c>
      <c r="D423" s="100" t="s">
        <v>65</v>
      </c>
      <c r="E423" s="101">
        <v>11.3</v>
      </c>
      <c r="F423" s="101"/>
      <c r="G423" s="101"/>
      <c r="H423" s="101"/>
      <c r="I423" s="27">
        <f>(F423+G423+H423)*$I$3</f>
        <v>0</v>
      </c>
      <c r="J423" s="28">
        <f>ROUND(SUM(F423:I423),2)</f>
        <v>0</v>
      </c>
      <c r="K423" s="29">
        <f>ROUND(J423*E423,2)</f>
        <v>0</v>
      </c>
      <c r="L423" s="96"/>
      <c r="M423" s="86">
        <v>1</v>
      </c>
    </row>
    <row r="424" s="86" customFormat="1" ht="48" outlineLevel="2" spans="1:15">
      <c r="A424" s="103">
        <f>1+N(A423)</f>
        <v>5</v>
      </c>
      <c r="B424" s="98" t="s">
        <v>66</v>
      </c>
      <c r="C424" s="99" t="s">
        <v>67</v>
      </c>
      <c r="D424" s="100" t="s">
        <v>58</v>
      </c>
      <c r="E424" s="101">
        <v>1.75</v>
      </c>
      <c r="F424" s="101"/>
      <c r="G424" s="101"/>
      <c r="H424" s="101"/>
      <c r="I424" s="27">
        <f>(F424+G424+H424)*$I$3</f>
        <v>0</v>
      </c>
      <c r="J424" s="28">
        <f>ROUND(SUM(F424:I424),2)</f>
        <v>0</v>
      </c>
      <c r="K424" s="29">
        <f>ROUND(J424*E424,2)</f>
        <v>0</v>
      </c>
      <c r="L424" s="96"/>
      <c r="M424" s="86">
        <v>1</v>
      </c>
    </row>
    <row r="425" s="86" customFormat="1" ht="24" customHeight="1" outlineLevel="1" spans="1:15">
      <c r="A425" s="97"/>
      <c r="B425" s="98" t="s">
        <v>68</v>
      </c>
      <c r="C425" s="99"/>
      <c r="D425" s="100"/>
      <c r="E425" s="101"/>
      <c r="F425" s="101"/>
      <c r="G425" s="101"/>
      <c r="H425" s="101"/>
      <c r="I425" s="101"/>
      <c r="J425" s="101"/>
      <c r="K425" s="102"/>
      <c r="L425" s="96"/>
    </row>
    <row r="426" s="86" customFormat="1" ht="60" customHeight="1" outlineLevel="2" spans="1:15">
      <c r="A426" s="103">
        <f t="shared" ref="A426:A437" si="64">1+N(A425)</f>
        <v>1</v>
      </c>
      <c r="B426" s="104" t="s">
        <v>219</v>
      </c>
      <c r="C426" s="99" t="s">
        <v>220</v>
      </c>
      <c r="D426" s="100" t="s">
        <v>58</v>
      </c>
      <c r="E426" s="101">
        <v>2.749</v>
      </c>
      <c r="F426" s="101"/>
      <c r="G426" s="101"/>
      <c r="H426" s="101"/>
      <c r="I426" s="27">
        <f t="shared" ref="I426:I437" si="65">(F426+G426+H426)*$I$3</f>
        <v>0</v>
      </c>
      <c r="J426" s="28">
        <f t="shared" ref="J426:J437" si="66">ROUND(SUM(F426:I426),2)</f>
        <v>0</v>
      </c>
      <c r="K426" s="29">
        <f t="shared" ref="K426:K437" si="67">ROUND(J426*E426,2)</f>
        <v>0</v>
      </c>
      <c r="L426" s="96"/>
      <c r="M426" s="86">
        <v>1</v>
      </c>
    </row>
    <row r="427" s="86" customFormat="1" ht="60" customHeight="1" outlineLevel="2" spans="1:15">
      <c r="A427" s="103">
        <f t="shared" si="64"/>
        <v>2</v>
      </c>
      <c r="B427" s="98" t="s">
        <v>221</v>
      </c>
      <c r="C427" s="99" t="s">
        <v>222</v>
      </c>
      <c r="D427" s="100" t="s">
        <v>58</v>
      </c>
      <c r="E427" s="101">
        <v>13.805</v>
      </c>
      <c r="F427" s="101"/>
      <c r="G427" s="101"/>
      <c r="H427" s="101"/>
      <c r="I427" s="27">
        <f t="shared" si="65"/>
        <v>0</v>
      </c>
      <c r="J427" s="28">
        <f t="shared" si="66"/>
        <v>0</v>
      </c>
      <c r="K427" s="29">
        <f t="shared" si="67"/>
        <v>0</v>
      </c>
      <c r="L427" s="96"/>
      <c r="M427" s="86">
        <v>1</v>
      </c>
    </row>
    <row r="428" s="86" customFormat="1" ht="72" outlineLevel="2" spans="1:15">
      <c r="A428" s="103">
        <f t="shared" si="64"/>
        <v>3</v>
      </c>
      <c r="B428" s="107" t="s">
        <v>223</v>
      </c>
      <c r="C428" s="99" t="s">
        <v>224</v>
      </c>
      <c r="D428" s="100" t="s">
        <v>58</v>
      </c>
      <c r="E428" s="101">
        <v>12.103</v>
      </c>
      <c r="F428" s="101"/>
      <c r="G428" s="101"/>
      <c r="H428" s="101"/>
      <c r="I428" s="27">
        <f t="shared" si="65"/>
        <v>0</v>
      </c>
      <c r="J428" s="28">
        <f t="shared" si="66"/>
        <v>0</v>
      </c>
      <c r="K428" s="29">
        <f t="shared" si="67"/>
        <v>0</v>
      </c>
      <c r="L428" s="96"/>
      <c r="M428" s="86">
        <v>1</v>
      </c>
    </row>
    <row r="429" s="86" customFormat="1" ht="60" customHeight="1" outlineLevel="2" spans="1:15">
      <c r="A429" s="103">
        <f t="shared" si="64"/>
        <v>4</v>
      </c>
      <c r="B429" s="107" t="s">
        <v>126</v>
      </c>
      <c r="C429" s="99" t="s">
        <v>225</v>
      </c>
      <c r="D429" s="100" t="s">
        <v>58</v>
      </c>
      <c r="E429" s="101">
        <f>0.355*2.4*2+0.375*0.25*3</f>
        <v>1.98525</v>
      </c>
      <c r="F429" s="101"/>
      <c r="G429" s="101"/>
      <c r="H429" s="101"/>
      <c r="I429" s="27">
        <f t="shared" si="65"/>
        <v>0</v>
      </c>
      <c r="J429" s="28">
        <f t="shared" si="66"/>
        <v>0</v>
      </c>
      <c r="K429" s="29">
        <f t="shared" si="67"/>
        <v>0</v>
      </c>
      <c r="L429" s="96"/>
      <c r="M429" s="86">
        <v>1</v>
      </c>
    </row>
    <row r="430" s="86" customFormat="1" ht="60" customHeight="1" outlineLevel="2" spans="1:15">
      <c r="A430" s="103">
        <f t="shared" si="64"/>
        <v>5</v>
      </c>
      <c r="B430" s="107" t="s">
        <v>226</v>
      </c>
      <c r="C430" s="99" t="s">
        <v>227</v>
      </c>
      <c r="D430" s="100" t="s">
        <v>58</v>
      </c>
      <c r="E430" s="101">
        <f>0.133*2+(0.59-0.05)*3</f>
        <v>1.886</v>
      </c>
      <c r="F430" s="101"/>
      <c r="G430" s="101"/>
      <c r="H430" s="101"/>
      <c r="I430" s="27">
        <f t="shared" si="65"/>
        <v>0</v>
      </c>
      <c r="J430" s="28">
        <f t="shared" si="66"/>
        <v>0</v>
      </c>
      <c r="K430" s="29">
        <f t="shared" si="67"/>
        <v>0</v>
      </c>
      <c r="L430" s="96"/>
      <c r="M430" s="86">
        <v>1</v>
      </c>
    </row>
    <row r="431" s="86" customFormat="1" ht="60" customHeight="1" outlineLevel="2" spans="1:15">
      <c r="A431" s="103">
        <f t="shared" si="64"/>
        <v>6</v>
      </c>
      <c r="B431" s="107" t="s">
        <v>228</v>
      </c>
      <c r="C431" s="99" t="s">
        <v>229</v>
      </c>
      <c r="D431" s="100" t="s">
        <v>58</v>
      </c>
      <c r="E431" s="101">
        <f>0.075*0.25*3</f>
        <v>0.05625</v>
      </c>
      <c r="F431" s="101"/>
      <c r="G431" s="101"/>
      <c r="H431" s="101"/>
      <c r="I431" s="27">
        <f t="shared" si="65"/>
        <v>0</v>
      </c>
      <c r="J431" s="28">
        <f t="shared" si="66"/>
        <v>0</v>
      </c>
      <c r="K431" s="29">
        <f t="shared" si="67"/>
        <v>0</v>
      </c>
      <c r="L431" s="96"/>
      <c r="M431" s="86">
        <v>1</v>
      </c>
    </row>
    <row r="432" s="86" customFormat="1" ht="60" customHeight="1" outlineLevel="2" spans="1:15">
      <c r="A432" s="103">
        <f t="shared" si="64"/>
        <v>7</v>
      </c>
      <c r="B432" s="105" t="s">
        <v>80</v>
      </c>
      <c r="C432" s="106" t="s">
        <v>81</v>
      </c>
      <c r="D432" s="105" t="s">
        <v>58</v>
      </c>
      <c r="E432" s="101">
        <f>+(0.308+0.074)*0.95*2</f>
        <v>0.7258</v>
      </c>
      <c r="F432" s="101"/>
      <c r="G432" s="101"/>
      <c r="H432" s="101"/>
      <c r="I432" s="27">
        <f t="shared" si="65"/>
        <v>0</v>
      </c>
      <c r="J432" s="28">
        <f t="shared" si="66"/>
        <v>0</v>
      </c>
      <c r="K432" s="29">
        <f t="shared" si="67"/>
        <v>0</v>
      </c>
      <c r="L432" s="96"/>
      <c r="M432" s="86">
        <v>1</v>
      </c>
    </row>
    <row r="433" s="86" customFormat="1" ht="48" outlineLevel="2" spans="1:15">
      <c r="A433" s="103">
        <f t="shared" si="64"/>
        <v>8</v>
      </c>
      <c r="B433" s="105" t="s">
        <v>86</v>
      </c>
      <c r="C433" s="106" t="s">
        <v>87</v>
      </c>
      <c r="D433" s="105" t="s">
        <v>65</v>
      </c>
      <c r="E433" s="101">
        <v>14.641</v>
      </c>
      <c r="F433" s="101"/>
      <c r="G433" s="101"/>
      <c r="H433" s="101"/>
      <c r="I433" s="27">
        <f t="shared" si="65"/>
        <v>0</v>
      </c>
      <c r="J433" s="28">
        <f t="shared" si="66"/>
        <v>0</v>
      </c>
      <c r="K433" s="29">
        <f t="shared" si="67"/>
        <v>0</v>
      </c>
      <c r="L433" s="96"/>
      <c r="M433" s="86">
        <v>1</v>
      </c>
    </row>
    <row r="434" s="86" customFormat="1" ht="36" outlineLevel="2" spans="1:15">
      <c r="A434" s="103">
        <f t="shared" si="64"/>
        <v>9</v>
      </c>
      <c r="B434" s="105" t="s">
        <v>230</v>
      </c>
      <c r="C434" s="106" t="s">
        <v>231</v>
      </c>
      <c r="D434" s="105" t="s">
        <v>65</v>
      </c>
      <c r="E434" s="101">
        <f>3.95*2+5.22*3</f>
        <v>23.56</v>
      </c>
      <c r="F434" s="101"/>
      <c r="G434" s="101"/>
      <c r="H434" s="101"/>
      <c r="I434" s="27">
        <f t="shared" si="65"/>
        <v>0</v>
      </c>
      <c r="J434" s="28">
        <f t="shared" si="66"/>
        <v>0</v>
      </c>
      <c r="K434" s="29">
        <f t="shared" si="67"/>
        <v>0</v>
      </c>
      <c r="L434" s="96"/>
      <c r="M434" s="86">
        <v>1</v>
      </c>
    </row>
    <row r="435" s="86" customFormat="1" ht="36" outlineLevel="2" spans="1:15">
      <c r="A435" s="103">
        <f t="shared" si="64"/>
        <v>10</v>
      </c>
      <c r="B435" s="105" t="s">
        <v>232</v>
      </c>
      <c r="C435" s="106" t="s">
        <v>233</v>
      </c>
      <c r="D435" s="105" t="s">
        <v>65</v>
      </c>
      <c r="E435" s="101">
        <v>6.11</v>
      </c>
      <c r="F435" s="101"/>
      <c r="G435" s="101"/>
      <c r="H435" s="101"/>
      <c r="I435" s="27">
        <f t="shared" si="65"/>
        <v>0</v>
      </c>
      <c r="J435" s="28">
        <f t="shared" si="66"/>
        <v>0</v>
      </c>
      <c r="K435" s="29">
        <f t="shared" si="67"/>
        <v>0</v>
      </c>
      <c r="L435" s="96"/>
      <c r="M435" s="86">
        <v>1</v>
      </c>
    </row>
    <row r="436" s="86" customFormat="1" ht="48" outlineLevel="2" spans="1:15">
      <c r="A436" s="103">
        <f t="shared" si="64"/>
        <v>11</v>
      </c>
      <c r="B436" s="105" t="s">
        <v>94</v>
      </c>
      <c r="C436" s="106" t="s">
        <v>95</v>
      </c>
      <c r="D436" s="105" t="s">
        <v>65</v>
      </c>
      <c r="E436" s="101">
        <v>14.641</v>
      </c>
      <c r="F436" s="101"/>
      <c r="G436" s="101"/>
      <c r="H436" s="101"/>
      <c r="I436" s="27">
        <f t="shared" si="65"/>
        <v>0</v>
      </c>
      <c r="J436" s="28">
        <f t="shared" si="66"/>
        <v>0</v>
      </c>
      <c r="K436" s="29">
        <f t="shared" si="67"/>
        <v>0</v>
      </c>
      <c r="L436" s="96"/>
      <c r="M436" s="86">
        <v>1</v>
      </c>
    </row>
    <row r="437" s="86" customFormat="1" ht="36" outlineLevel="2" spans="1:15">
      <c r="A437" s="103">
        <f t="shared" si="64"/>
        <v>12</v>
      </c>
      <c r="B437" s="105" t="s">
        <v>234</v>
      </c>
      <c r="C437" s="106" t="s">
        <v>235</v>
      </c>
      <c r="D437" s="105" t="s">
        <v>58</v>
      </c>
      <c r="E437" s="101">
        <f>5.99*2*0.095</f>
        <v>1.1381</v>
      </c>
      <c r="F437" s="101"/>
      <c r="G437" s="101"/>
      <c r="H437" s="101"/>
      <c r="I437" s="27">
        <f t="shared" si="65"/>
        <v>0</v>
      </c>
      <c r="J437" s="28">
        <f t="shared" si="66"/>
        <v>0</v>
      </c>
      <c r="K437" s="29">
        <f t="shared" si="67"/>
        <v>0</v>
      </c>
      <c r="L437" s="96"/>
      <c r="M437" s="86">
        <v>1</v>
      </c>
    </row>
    <row r="438" s="86" customFormat="1" ht="24" customHeight="1" outlineLevel="1" spans="1:15">
      <c r="A438" s="97"/>
      <c r="B438" s="98" t="s">
        <v>96</v>
      </c>
      <c r="C438" s="99"/>
      <c r="D438" s="100"/>
      <c r="E438" s="101"/>
      <c r="F438" s="101"/>
      <c r="G438" s="101"/>
      <c r="H438" s="101"/>
      <c r="I438" s="101"/>
      <c r="J438" s="101"/>
      <c r="K438" s="102"/>
      <c r="L438" s="96"/>
    </row>
    <row r="439" s="86" customFormat="1" ht="96" outlineLevel="2" spans="1:15">
      <c r="A439" s="103">
        <f>1+N(A438)</f>
        <v>1</v>
      </c>
      <c r="B439" s="98" t="s">
        <v>97</v>
      </c>
      <c r="C439" s="108" t="s">
        <v>98</v>
      </c>
      <c r="D439" s="100" t="s">
        <v>58</v>
      </c>
      <c r="E439" s="101">
        <v>15.7</v>
      </c>
      <c r="F439" s="101"/>
      <c r="G439" s="101"/>
      <c r="H439" s="101"/>
      <c r="I439" s="27">
        <f>(F439+G439+H439)*$I$3</f>
        <v>0</v>
      </c>
      <c r="J439" s="28">
        <f>ROUND(SUM(F439:I439),2)</f>
        <v>0</v>
      </c>
      <c r="K439" s="29">
        <f>ROUND(J439*E439,2)</f>
        <v>0</v>
      </c>
      <c r="L439" s="96"/>
      <c r="M439" s="86">
        <v>1</v>
      </c>
    </row>
    <row r="440" s="86" customFormat="1" ht="48" outlineLevel="2" spans="1:15">
      <c r="A440" s="103">
        <f>1+N(A439)</f>
        <v>2</v>
      </c>
      <c r="B440" s="98" t="s">
        <v>99</v>
      </c>
      <c r="C440" s="108" t="s">
        <v>100</v>
      </c>
      <c r="D440" s="100" t="s">
        <v>65</v>
      </c>
      <c r="E440" s="101">
        <v>9.1</v>
      </c>
      <c r="F440" s="101"/>
      <c r="G440" s="101"/>
      <c r="H440" s="101"/>
      <c r="I440" s="27">
        <f>(F440+G440+H440)*$I$3</f>
        <v>0</v>
      </c>
      <c r="J440" s="28">
        <f>ROUND(SUM(F440:I440),2)</f>
        <v>0</v>
      </c>
      <c r="K440" s="29">
        <f>ROUND(J440*E440,2)</f>
        <v>0</v>
      </c>
      <c r="L440" s="96"/>
      <c r="M440" s="86">
        <v>1</v>
      </c>
    </row>
    <row r="441" s="86" customFormat="1" ht="48" outlineLevel="2" spans="1:15">
      <c r="A441" s="103">
        <f>1+N(A440)</f>
        <v>3</v>
      </c>
      <c r="B441" s="98" t="s">
        <v>101</v>
      </c>
      <c r="C441" s="108" t="s">
        <v>102</v>
      </c>
      <c r="D441" s="100" t="s">
        <v>65</v>
      </c>
      <c r="E441" s="101">
        <v>9.1</v>
      </c>
      <c r="F441" s="101"/>
      <c r="G441" s="101"/>
      <c r="H441" s="101"/>
      <c r="I441" s="27">
        <f>(F441+G441+H441)*$I$3</f>
        <v>0</v>
      </c>
      <c r="J441" s="28">
        <f>ROUND(SUM(F441:I441),2)</f>
        <v>0</v>
      </c>
      <c r="K441" s="29">
        <f>ROUND(J441*E441,2)</f>
        <v>0</v>
      </c>
      <c r="L441" s="96"/>
      <c r="M441" s="86">
        <v>1</v>
      </c>
    </row>
    <row r="442" s="86" customFormat="1" ht="72" customHeight="1" outlineLevel="2" spans="1:15">
      <c r="A442" s="103">
        <f>1+N(A441)</f>
        <v>4</v>
      </c>
      <c r="B442" s="98" t="s">
        <v>105</v>
      </c>
      <c r="C442" s="108" t="s">
        <v>106</v>
      </c>
      <c r="D442" s="100" t="s">
        <v>58</v>
      </c>
      <c r="E442" s="101">
        <f>15.7+9.1*0.3</f>
        <v>18.43</v>
      </c>
      <c r="F442" s="101"/>
      <c r="G442" s="101"/>
      <c r="H442" s="101"/>
      <c r="I442" s="27">
        <f>(F442+G442+H442)*$I$3</f>
        <v>0</v>
      </c>
      <c r="J442" s="28">
        <f>ROUND(SUM(F442:I442),2)</f>
        <v>0</v>
      </c>
      <c r="K442" s="29">
        <f>ROUND(J442*E442,2)</f>
        <v>0</v>
      </c>
      <c r="L442" s="96"/>
      <c r="M442" s="86">
        <v>1</v>
      </c>
    </row>
    <row r="443" s="86" customFormat="1" ht="24" customHeight="1" outlineLevel="1" spans="1:15">
      <c r="A443" s="97"/>
      <c r="B443" s="98" t="s">
        <v>107</v>
      </c>
      <c r="C443" s="99"/>
      <c r="D443" s="100"/>
      <c r="E443" s="101"/>
      <c r="F443" s="101"/>
      <c r="G443" s="101"/>
      <c r="H443" s="101"/>
      <c r="I443" s="101"/>
      <c r="J443" s="101"/>
      <c r="K443" s="102"/>
      <c r="L443" s="96"/>
    </row>
    <row r="444" s="86" customFormat="1" ht="36" outlineLevel="2" spans="1:15">
      <c r="A444" s="103">
        <f>1+N(A443)</f>
        <v>1</v>
      </c>
      <c r="B444" s="98" t="s">
        <v>121</v>
      </c>
      <c r="C444" s="99" t="s">
        <v>109</v>
      </c>
      <c r="D444" s="100" t="s">
        <v>58</v>
      </c>
      <c r="E444" s="101">
        <f>0.7*2.4</f>
        <v>1.68</v>
      </c>
      <c r="F444" s="101"/>
      <c r="G444" s="101"/>
      <c r="H444" s="101"/>
      <c r="I444" s="27">
        <f>(F444+G444+H444)*$I$3</f>
        <v>0</v>
      </c>
      <c r="J444" s="28">
        <f>ROUND(SUM(F444:I444),2)</f>
        <v>0</v>
      </c>
      <c r="K444" s="29">
        <f>ROUND(J444*E444,2)</f>
        <v>0</v>
      </c>
      <c r="L444" s="96"/>
      <c r="M444" s="86">
        <v>1</v>
      </c>
    </row>
    <row r="445" s="86" customFormat="1" ht="24" customHeight="1" outlineLevel="1" spans="1:15">
      <c r="A445" s="92"/>
      <c r="B445" s="93" t="s">
        <v>155</v>
      </c>
      <c r="C445" s="93"/>
      <c r="D445" s="94"/>
      <c r="E445" s="95"/>
      <c r="F445" s="95"/>
      <c r="G445" s="95"/>
      <c r="H445" s="95"/>
      <c r="I445" s="95"/>
      <c r="J445" s="95"/>
      <c r="K445" s="23"/>
      <c r="L445" s="96"/>
      <c r="O445" s="86" t="str">
        <f>_xlfn.DISPIMG("ID_08529AA2B4754D7788EF3058DD12C0B7",1)</f>
        <v>=DISPIMG("ID_08529AA2B4754D7788EF3058DD12C0B7",1)</v>
      </c>
    </row>
    <row r="446" s="86" customFormat="1" ht="24" customHeight="1" outlineLevel="1" spans="1:15">
      <c r="A446" s="97"/>
      <c r="B446" s="105" t="s">
        <v>156</v>
      </c>
      <c r="C446" s="99"/>
      <c r="D446" s="100"/>
      <c r="E446" s="101"/>
      <c r="F446" s="101"/>
      <c r="G446" s="101"/>
      <c r="H446" s="101"/>
      <c r="I446" s="101"/>
      <c r="J446" s="101"/>
      <c r="K446" s="102"/>
      <c r="L446" s="96"/>
    </row>
    <row r="447" s="86" customFormat="1" ht="36" outlineLevel="2" spans="1:15">
      <c r="A447" s="103">
        <f>1+N(A446)</f>
        <v>1</v>
      </c>
      <c r="B447" s="105" t="s">
        <v>239</v>
      </c>
      <c r="C447" s="106" t="s">
        <v>240</v>
      </c>
      <c r="D447" s="100" t="s">
        <v>209</v>
      </c>
      <c r="E447" s="101">
        <f>0.43*2.85</f>
        <v>1.2255</v>
      </c>
      <c r="F447" s="101"/>
      <c r="G447" s="101"/>
      <c r="H447" s="101"/>
      <c r="I447" s="27">
        <f>(F447+G447+H447)*$I$3</f>
        <v>0</v>
      </c>
      <c r="J447" s="28">
        <f>ROUND(SUM(F447:I447),2)</f>
        <v>0</v>
      </c>
      <c r="K447" s="29">
        <f>ROUND(J447*E447,2)</f>
        <v>0</v>
      </c>
      <c r="L447" s="96"/>
      <c r="M447" s="86">
        <v>1</v>
      </c>
    </row>
    <row r="448" s="2" customFormat="1" ht="24" customHeight="1" spans="1:15">
      <c r="A448" s="21" t="s">
        <v>241</v>
      </c>
      <c r="B448" s="21" t="s">
        <v>242</v>
      </c>
      <c r="C448" s="21"/>
      <c r="D448" s="21"/>
      <c r="E448" s="109"/>
      <c r="F448" s="109"/>
      <c r="G448" s="109"/>
      <c r="H448" s="109"/>
      <c r="I448" s="109"/>
      <c r="J448" s="109"/>
      <c r="K448" s="23">
        <f>SUM(K449:K910)</f>
        <v>0</v>
      </c>
      <c r="L448" s="96"/>
    </row>
    <row r="449" s="86" customFormat="1" ht="24" customHeight="1" outlineLevel="1" spans="1:15">
      <c r="A449" s="92"/>
      <c r="B449" s="118" t="s">
        <v>243</v>
      </c>
      <c r="C449" s="119"/>
      <c r="D449" s="94"/>
      <c r="E449" s="95"/>
      <c r="F449" s="95"/>
      <c r="G449" s="95"/>
      <c r="H449" s="95"/>
      <c r="I449" s="95"/>
      <c r="J449" s="95"/>
      <c r="K449" s="23"/>
      <c r="L449" s="96"/>
      <c r="O449" s="86" t="str">
        <f>_xlfn.DISPIMG("ID_794EEF17F06A4AF783B086FE9CB1E3D4",1)</f>
        <v>=DISPIMG("ID_794EEF17F06A4AF783B086FE9CB1E3D4",1)</v>
      </c>
    </row>
    <row r="450" s="86" customFormat="1" ht="24" customHeight="1" outlineLevel="1" spans="1:15">
      <c r="A450" s="97"/>
      <c r="B450" s="98" t="s">
        <v>55</v>
      </c>
      <c r="C450" s="99"/>
      <c r="D450" s="100"/>
      <c r="E450" s="101"/>
      <c r="F450" s="101"/>
      <c r="G450" s="101"/>
      <c r="H450" s="101"/>
      <c r="I450" s="101"/>
      <c r="J450" s="101"/>
      <c r="K450" s="102"/>
      <c r="L450" s="96"/>
    </row>
    <row r="451" s="86" customFormat="1" ht="60" outlineLevel="2" spans="1:15">
      <c r="A451" s="103">
        <f t="shared" ref="A451:A457" si="68">1+N(A450)</f>
        <v>1</v>
      </c>
      <c r="B451" s="98" t="s">
        <v>244</v>
      </c>
      <c r="C451" s="99" t="s">
        <v>245</v>
      </c>
      <c r="D451" s="100" t="s">
        <v>58</v>
      </c>
      <c r="E451" s="101">
        <v>5.36</v>
      </c>
      <c r="F451" s="101"/>
      <c r="G451" s="101"/>
      <c r="H451" s="101"/>
      <c r="I451" s="27">
        <f t="shared" ref="I451:I457" si="69">(F451+G451+H451)*$I$3</f>
        <v>0</v>
      </c>
      <c r="J451" s="28">
        <f t="shared" ref="J451:J457" si="70">ROUND(SUM(F451:I451),2)</f>
        <v>0</v>
      </c>
      <c r="K451" s="29">
        <f t="shared" ref="K451:K457" si="71">ROUND(J451*E451,2)</f>
        <v>0</v>
      </c>
      <c r="L451" s="96"/>
      <c r="M451" s="86">
        <v>1</v>
      </c>
    </row>
    <row r="452" s="86" customFormat="1" ht="48" outlineLevel="2" spans="1:15">
      <c r="A452" s="103">
        <f t="shared" si="68"/>
        <v>2</v>
      </c>
      <c r="B452" s="98" t="s">
        <v>246</v>
      </c>
      <c r="C452" s="99" t="s">
        <v>247</v>
      </c>
      <c r="D452" s="100" t="s">
        <v>65</v>
      </c>
      <c r="E452" s="101">
        <v>11.35</v>
      </c>
      <c r="F452" s="101"/>
      <c r="G452" s="101"/>
      <c r="H452" s="101"/>
      <c r="I452" s="27">
        <f t="shared" si="69"/>
        <v>0</v>
      </c>
      <c r="J452" s="28">
        <f t="shared" si="70"/>
        <v>0</v>
      </c>
      <c r="K452" s="29">
        <f t="shared" si="71"/>
        <v>0</v>
      </c>
      <c r="L452" s="96"/>
      <c r="M452" s="86">
        <v>1</v>
      </c>
    </row>
    <row r="453" s="86" customFormat="1" ht="108" outlineLevel="2" spans="1:15">
      <c r="A453" s="103">
        <f t="shared" si="68"/>
        <v>3</v>
      </c>
      <c r="B453" s="98" t="s">
        <v>56</v>
      </c>
      <c r="C453" s="99" t="s">
        <v>248</v>
      </c>
      <c r="D453" s="100" t="s">
        <v>58</v>
      </c>
      <c r="E453" s="101">
        <v>85.43</v>
      </c>
      <c r="F453" s="101"/>
      <c r="G453" s="101"/>
      <c r="H453" s="27"/>
      <c r="I453" s="27">
        <f t="shared" si="69"/>
        <v>0</v>
      </c>
      <c r="J453" s="28">
        <f t="shared" si="70"/>
        <v>0</v>
      </c>
      <c r="K453" s="29">
        <f t="shared" si="71"/>
        <v>0</v>
      </c>
      <c r="L453" s="96"/>
      <c r="M453" s="86">
        <v>1</v>
      </c>
    </row>
    <row r="454" s="86" customFormat="1" ht="108" outlineLevel="2" spans="1:15">
      <c r="A454" s="103">
        <f t="shared" si="68"/>
        <v>4</v>
      </c>
      <c r="B454" s="98" t="s">
        <v>249</v>
      </c>
      <c r="C454" s="99" t="s">
        <v>250</v>
      </c>
      <c r="D454" s="100" t="s">
        <v>58</v>
      </c>
      <c r="E454" s="101">
        <v>24.83</v>
      </c>
      <c r="F454" s="101"/>
      <c r="G454" s="101"/>
      <c r="H454" s="101"/>
      <c r="I454" s="27">
        <f t="shared" si="69"/>
        <v>0</v>
      </c>
      <c r="J454" s="28">
        <f t="shared" si="70"/>
        <v>0</v>
      </c>
      <c r="K454" s="29">
        <f t="shared" si="71"/>
        <v>0</v>
      </c>
      <c r="L454" s="96"/>
      <c r="M454" s="86">
        <v>1</v>
      </c>
    </row>
    <row r="455" s="86" customFormat="1" ht="96" outlineLevel="2" spans="1:15">
      <c r="A455" s="103">
        <f t="shared" si="68"/>
        <v>5</v>
      </c>
      <c r="B455" s="98" t="s">
        <v>251</v>
      </c>
      <c r="C455" s="99" t="s">
        <v>252</v>
      </c>
      <c r="D455" s="100" t="s">
        <v>58</v>
      </c>
      <c r="E455" s="101">
        <f>5.36+11.35*0.165</f>
        <v>7.23275</v>
      </c>
      <c r="F455" s="101"/>
      <c r="G455" s="101"/>
      <c r="H455" s="27"/>
      <c r="I455" s="27">
        <f t="shared" si="69"/>
        <v>0</v>
      </c>
      <c r="J455" s="28">
        <f t="shared" si="70"/>
        <v>0</v>
      </c>
      <c r="K455" s="29">
        <f t="shared" si="71"/>
        <v>0</v>
      </c>
      <c r="L455" s="96"/>
      <c r="M455" s="86">
        <v>1</v>
      </c>
    </row>
    <row r="456" s="86" customFormat="1" ht="56" customHeight="1" outlineLevel="2" spans="1:15">
      <c r="A456" s="103">
        <f t="shared" si="68"/>
        <v>6</v>
      </c>
      <c r="B456" s="98" t="s">
        <v>63</v>
      </c>
      <c r="C456" s="99" t="s">
        <v>64</v>
      </c>
      <c r="D456" s="100" t="s">
        <v>65</v>
      </c>
      <c r="E456" s="101">
        <v>19.84</v>
      </c>
      <c r="F456" s="101"/>
      <c r="G456" s="101"/>
      <c r="H456" s="101"/>
      <c r="I456" s="27">
        <f t="shared" si="69"/>
        <v>0</v>
      </c>
      <c r="J456" s="28">
        <f t="shared" si="70"/>
        <v>0</v>
      </c>
      <c r="K456" s="29">
        <f t="shared" si="71"/>
        <v>0</v>
      </c>
      <c r="L456" s="96"/>
      <c r="M456" s="86">
        <v>1</v>
      </c>
    </row>
    <row r="457" s="86" customFormat="1" ht="48" outlineLevel="2" spans="1:15">
      <c r="A457" s="103">
        <f t="shared" si="68"/>
        <v>7</v>
      </c>
      <c r="B457" s="98" t="s">
        <v>66</v>
      </c>
      <c r="C457" s="99" t="s">
        <v>67</v>
      </c>
      <c r="D457" s="100" t="s">
        <v>58</v>
      </c>
      <c r="E457" s="101">
        <v>117.49</v>
      </c>
      <c r="F457" s="101"/>
      <c r="G457" s="101"/>
      <c r="H457" s="101"/>
      <c r="I457" s="27">
        <f t="shared" si="69"/>
        <v>0</v>
      </c>
      <c r="J457" s="28">
        <f t="shared" si="70"/>
        <v>0</v>
      </c>
      <c r="K457" s="29">
        <f t="shared" si="71"/>
        <v>0</v>
      </c>
      <c r="L457" s="96"/>
      <c r="M457" s="86">
        <v>1</v>
      </c>
    </row>
    <row r="458" s="86" customFormat="1" ht="24" customHeight="1" outlineLevel="1" spans="1:15">
      <c r="A458" s="97"/>
      <c r="B458" s="98" t="s">
        <v>68</v>
      </c>
      <c r="C458" s="99"/>
      <c r="D458" s="100"/>
      <c r="E458" s="101"/>
      <c r="F458" s="101"/>
      <c r="G458" s="101"/>
      <c r="H458" s="101"/>
      <c r="I458" s="101"/>
      <c r="J458" s="101"/>
      <c r="K458" s="102"/>
      <c r="L458" s="96"/>
    </row>
    <row r="459" s="86" customFormat="1" ht="60" customHeight="1" outlineLevel="2" spans="1:15">
      <c r="A459" s="103">
        <f t="shared" ref="A459:A466" si="72">1+N(A458)</f>
        <v>1</v>
      </c>
      <c r="B459" s="104" t="s">
        <v>71</v>
      </c>
      <c r="C459" s="99" t="s">
        <v>253</v>
      </c>
      <c r="D459" s="100" t="s">
        <v>58</v>
      </c>
      <c r="E459" s="101">
        <f>156.476+156.476</f>
        <v>312.952</v>
      </c>
      <c r="F459" s="101"/>
      <c r="G459" s="101"/>
      <c r="H459" s="101"/>
      <c r="I459" s="27">
        <f t="shared" ref="I459:I466" si="73">(F459+G459+H459)*$I$3</f>
        <v>0</v>
      </c>
      <c r="J459" s="28">
        <f t="shared" ref="J459:J466" si="74">ROUND(SUM(F459:I459),2)</f>
        <v>0</v>
      </c>
      <c r="K459" s="29">
        <f t="shared" ref="K459:K466" si="75">ROUND(J459*E459,2)</f>
        <v>0</v>
      </c>
      <c r="L459" s="96"/>
      <c r="M459" s="86">
        <v>1</v>
      </c>
    </row>
    <row r="460" s="86" customFormat="1" ht="60" customHeight="1" outlineLevel="2" spans="1:15">
      <c r="A460" s="103">
        <f t="shared" si="72"/>
        <v>2</v>
      </c>
      <c r="B460" s="98" t="s">
        <v>73</v>
      </c>
      <c r="C460" s="99" t="s">
        <v>254</v>
      </c>
      <c r="D460" s="100" t="s">
        <v>58</v>
      </c>
      <c r="E460" s="101">
        <v>43.084</v>
      </c>
      <c r="F460" s="101"/>
      <c r="G460" s="101"/>
      <c r="H460" s="101"/>
      <c r="I460" s="27">
        <f t="shared" si="73"/>
        <v>0</v>
      </c>
      <c r="J460" s="28">
        <f t="shared" si="74"/>
        <v>0</v>
      </c>
      <c r="K460" s="29">
        <f t="shared" si="75"/>
        <v>0</v>
      </c>
      <c r="L460" s="96"/>
      <c r="M460" s="86">
        <v>1</v>
      </c>
    </row>
    <row r="461" s="86" customFormat="1" ht="60" customHeight="1" outlineLevel="2" spans="1:15">
      <c r="A461" s="103">
        <f t="shared" si="72"/>
        <v>3</v>
      </c>
      <c r="B461" s="98" t="s">
        <v>255</v>
      </c>
      <c r="C461" s="99" t="s">
        <v>256</v>
      </c>
      <c r="D461" s="100" t="s">
        <v>58</v>
      </c>
      <c r="E461" s="101">
        <v>42.988</v>
      </c>
      <c r="F461" s="101"/>
      <c r="G461" s="101"/>
      <c r="H461" s="101"/>
      <c r="I461" s="27">
        <f t="shared" si="73"/>
        <v>0</v>
      </c>
      <c r="J461" s="28">
        <f t="shared" si="74"/>
        <v>0</v>
      </c>
      <c r="K461" s="29">
        <f t="shared" si="75"/>
        <v>0</v>
      </c>
      <c r="L461" s="96"/>
      <c r="M461" s="86">
        <v>1</v>
      </c>
    </row>
    <row r="462" s="86" customFormat="1" ht="60" customHeight="1" outlineLevel="2" spans="1:15">
      <c r="A462" s="103">
        <f t="shared" si="72"/>
        <v>4</v>
      </c>
      <c r="B462" s="98" t="s">
        <v>167</v>
      </c>
      <c r="C462" s="99" t="s">
        <v>168</v>
      </c>
      <c r="D462" s="100" t="s">
        <v>58</v>
      </c>
      <c r="E462" s="101">
        <v>0.673</v>
      </c>
      <c r="F462" s="101"/>
      <c r="G462" s="101"/>
      <c r="H462" s="101"/>
      <c r="I462" s="27">
        <f t="shared" si="73"/>
        <v>0</v>
      </c>
      <c r="J462" s="28">
        <f t="shared" si="74"/>
        <v>0</v>
      </c>
      <c r="K462" s="29">
        <f t="shared" si="75"/>
        <v>0</v>
      </c>
      <c r="L462" s="96"/>
      <c r="M462" s="86">
        <v>1</v>
      </c>
    </row>
    <row r="463" s="86" customFormat="1" ht="60" customHeight="1" outlineLevel="2" spans="1:15">
      <c r="A463" s="103">
        <f t="shared" si="72"/>
        <v>5</v>
      </c>
      <c r="B463" s="98" t="s">
        <v>169</v>
      </c>
      <c r="C463" s="99" t="s">
        <v>257</v>
      </c>
      <c r="D463" s="100" t="s">
        <v>58</v>
      </c>
      <c r="E463" s="101">
        <v>0.673</v>
      </c>
      <c r="F463" s="101"/>
      <c r="G463" s="101"/>
      <c r="H463" s="101"/>
      <c r="I463" s="27">
        <f t="shared" si="73"/>
        <v>0</v>
      </c>
      <c r="J463" s="28">
        <f t="shared" si="74"/>
        <v>0</v>
      </c>
      <c r="K463" s="29">
        <f t="shared" si="75"/>
        <v>0</v>
      </c>
      <c r="L463" s="96"/>
      <c r="M463" s="86">
        <v>1</v>
      </c>
    </row>
    <row r="464" s="86" customFormat="1" ht="60" customHeight="1" outlineLevel="2" spans="1:15">
      <c r="A464" s="103">
        <f t="shared" si="72"/>
        <v>6</v>
      </c>
      <c r="B464" s="98" t="s">
        <v>258</v>
      </c>
      <c r="C464" s="99" t="s">
        <v>259</v>
      </c>
      <c r="D464" s="100" t="s">
        <v>58</v>
      </c>
      <c r="E464" s="101">
        <v>36.541</v>
      </c>
      <c r="F464" s="101"/>
      <c r="G464" s="101"/>
      <c r="H464" s="101"/>
      <c r="I464" s="27">
        <f t="shared" si="73"/>
        <v>0</v>
      </c>
      <c r="J464" s="28">
        <f t="shared" si="74"/>
        <v>0</v>
      </c>
      <c r="K464" s="29">
        <f t="shared" si="75"/>
        <v>0</v>
      </c>
      <c r="L464" s="96"/>
      <c r="M464" s="86">
        <v>1</v>
      </c>
    </row>
    <row r="465" s="86" customFormat="1" ht="60" customHeight="1" outlineLevel="2" spans="1:15">
      <c r="A465" s="103">
        <f t="shared" si="72"/>
        <v>7</v>
      </c>
      <c r="B465" s="98" t="s">
        <v>86</v>
      </c>
      <c r="C465" s="99" t="s">
        <v>87</v>
      </c>
      <c r="D465" s="100" t="s">
        <v>65</v>
      </c>
      <c r="E465" s="101">
        <v>87.516</v>
      </c>
      <c r="F465" s="101"/>
      <c r="G465" s="101"/>
      <c r="H465" s="101"/>
      <c r="I465" s="27">
        <f t="shared" si="73"/>
        <v>0</v>
      </c>
      <c r="J465" s="28">
        <f t="shared" si="74"/>
        <v>0</v>
      </c>
      <c r="K465" s="29">
        <f t="shared" si="75"/>
        <v>0</v>
      </c>
      <c r="L465" s="96"/>
      <c r="M465" s="86">
        <v>1</v>
      </c>
    </row>
    <row r="466" s="86" customFormat="1" ht="60" customHeight="1" outlineLevel="2" spans="1:15">
      <c r="A466" s="103">
        <f t="shared" si="72"/>
        <v>8</v>
      </c>
      <c r="B466" s="98" t="s">
        <v>234</v>
      </c>
      <c r="C466" s="99" t="s">
        <v>235</v>
      </c>
      <c r="D466" s="105" t="s">
        <v>58</v>
      </c>
      <c r="E466" s="101">
        <f>+((2+2.6)*2+(1.95+1.95)*2+(1.95+2)*2)*0.095</f>
        <v>2.3655</v>
      </c>
      <c r="F466" s="101"/>
      <c r="G466" s="101"/>
      <c r="H466" s="101"/>
      <c r="I466" s="27">
        <f t="shared" si="73"/>
        <v>0</v>
      </c>
      <c r="J466" s="28">
        <f t="shared" si="74"/>
        <v>0</v>
      </c>
      <c r="K466" s="29">
        <f t="shared" si="75"/>
        <v>0</v>
      </c>
      <c r="L466" s="96"/>
      <c r="M466" s="86">
        <v>1</v>
      </c>
    </row>
    <row r="467" s="86" customFormat="1" ht="24" customHeight="1" outlineLevel="1" spans="1:15">
      <c r="A467" s="97"/>
      <c r="B467" s="98" t="s">
        <v>96</v>
      </c>
      <c r="C467" s="99"/>
      <c r="D467" s="100"/>
      <c r="E467" s="101"/>
      <c r="F467" s="101"/>
      <c r="G467" s="101"/>
      <c r="H467" s="101"/>
      <c r="I467" s="101"/>
      <c r="J467" s="101"/>
      <c r="K467" s="102"/>
      <c r="L467" s="96"/>
    </row>
    <row r="468" s="86" customFormat="1" ht="72" customHeight="1" outlineLevel="2" spans="1:15">
      <c r="A468" s="103">
        <f t="shared" ref="A468:A475" si="76">1+N(A467)</f>
        <v>1</v>
      </c>
      <c r="B468" s="98" t="s">
        <v>97</v>
      </c>
      <c r="C468" s="108" t="s">
        <v>260</v>
      </c>
      <c r="D468" s="100" t="s">
        <v>58</v>
      </c>
      <c r="E468" s="101">
        <f>5.36+85.43+24.83-15.2</f>
        <v>100.42</v>
      </c>
      <c r="F468" s="101"/>
      <c r="G468" s="101"/>
      <c r="H468" s="101"/>
      <c r="I468" s="27">
        <f t="shared" ref="I468:I475" si="77">(F468+G468+H468)*$I$3</f>
        <v>0</v>
      </c>
      <c r="J468" s="28">
        <f t="shared" ref="J468:J475" si="78">ROUND(SUM(F468:I468),2)</f>
        <v>0</v>
      </c>
      <c r="K468" s="29">
        <f t="shared" ref="K468:K475" si="79">ROUND(J468*E468,2)</f>
        <v>0</v>
      </c>
      <c r="L468" s="96"/>
      <c r="M468" s="86">
        <v>1</v>
      </c>
    </row>
    <row r="469" s="86" customFormat="1" ht="72" outlineLevel="2" spans="1:15">
      <c r="A469" s="103">
        <f t="shared" si="76"/>
        <v>2</v>
      </c>
      <c r="B469" s="98" t="s">
        <v>261</v>
      </c>
      <c r="C469" s="108" t="s">
        <v>262</v>
      </c>
      <c r="D469" s="100" t="s">
        <v>58</v>
      </c>
      <c r="E469" s="101">
        <v>15.2</v>
      </c>
      <c r="F469" s="101"/>
      <c r="G469" s="101"/>
      <c r="H469" s="101"/>
      <c r="I469" s="27">
        <f t="shared" si="77"/>
        <v>0</v>
      </c>
      <c r="J469" s="28">
        <f t="shared" si="78"/>
        <v>0</v>
      </c>
      <c r="K469" s="29">
        <f t="shared" si="79"/>
        <v>0</v>
      </c>
      <c r="L469" s="96"/>
      <c r="M469" s="86">
        <v>1</v>
      </c>
    </row>
    <row r="470" s="86" customFormat="1" ht="60" customHeight="1" outlineLevel="2" spans="1:15">
      <c r="A470" s="103">
        <f t="shared" si="76"/>
        <v>3</v>
      </c>
      <c r="B470" s="98" t="s">
        <v>103</v>
      </c>
      <c r="C470" s="99" t="s">
        <v>104</v>
      </c>
      <c r="D470" s="100" t="s">
        <v>65</v>
      </c>
      <c r="E470" s="101">
        <f>1.2*4*2</f>
        <v>9.6</v>
      </c>
      <c r="F470" s="101"/>
      <c r="G470" s="101"/>
      <c r="H470" s="101"/>
      <c r="I470" s="27">
        <f t="shared" si="77"/>
        <v>0</v>
      </c>
      <c r="J470" s="28">
        <f t="shared" si="78"/>
        <v>0</v>
      </c>
      <c r="K470" s="29">
        <f t="shared" si="79"/>
        <v>0</v>
      </c>
      <c r="L470" s="96"/>
      <c r="M470" s="86">
        <v>1</v>
      </c>
    </row>
    <row r="471" s="86" customFormat="1" ht="60" customHeight="1" outlineLevel="2" spans="1:15">
      <c r="A471" s="103">
        <f t="shared" si="76"/>
        <v>4</v>
      </c>
      <c r="B471" s="98" t="s">
        <v>99</v>
      </c>
      <c r="C471" s="99" t="s">
        <v>100</v>
      </c>
      <c r="D471" s="100" t="s">
        <v>65</v>
      </c>
      <c r="E471" s="101">
        <v>44.85</v>
      </c>
      <c r="F471" s="101"/>
      <c r="G471" s="101"/>
      <c r="H471" s="101"/>
      <c r="I471" s="27">
        <f t="shared" si="77"/>
        <v>0</v>
      </c>
      <c r="J471" s="28">
        <f t="shared" si="78"/>
        <v>0</v>
      </c>
      <c r="K471" s="29">
        <f t="shared" si="79"/>
        <v>0</v>
      </c>
      <c r="L471" s="96"/>
      <c r="M471" s="86">
        <v>1</v>
      </c>
    </row>
    <row r="472" s="86" customFormat="1" ht="60" customHeight="1" outlineLevel="2" spans="1:15">
      <c r="A472" s="103">
        <f t="shared" si="76"/>
        <v>5</v>
      </c>
      <c r="B472" s="98" t="s">
        <v>263</v>
      </c>
      <c r="C472" s="99" t="s">
        <v>264</v>
      </c>
      <c r="D472" s="100" t="s">
        <v>65</v>
      </c>
      <c r="E472" s="101">
        <v>9.56</v>
      </c>
      <c r="F472" s="101"/>
      <c r="G472" s="101"/>
      <c r="H472" s="101"/>
      <c r="I472" s="27">
        <f t="shared" si="77"/>
        <v>0</v>
      </c>
      <c r="J472" s="28">
        <f t="shared" si="78"/>
        <v>0</v>
      </c>
      <c r="K472" s="29">
        <f t="shared" si="79"/>
        <v>0</v>
      </c>
      <c r="L472" s="96"/>
      <c r="M472" s="86">
        <v>1</v>
      </c>
    </row>
    <row r="473" s="86" customFormat="1" ht="60" customHeight="1" outlineLevel="2" spans="1:15">
      <c r="A473" s="103">
        <f t="shared" si="76"/>
        <v>6</v>
      </c>
      <c r="B473" s="98" t="s">
        <v>101</v>
      </c>
      <c r="C473" s="99" t="s">
        <v>102</v>
      </c>
      <c r="D473" s="100" t="s">
        <v>65</v>
      </c>
      <c r="E473" s="101">
        <v>44.85</v>
      </c>
      <c r="F473" s="101"/>
      <c r="G473" s="101"/>
      <c r="H473" s="101"/>
      <c r="I473" s="27">
        <f t="shared" si="77"/>
        <v>0</v>
      </c>
      <c r="J473" s="28">
        <f t="shared" si="78"/>
        <v>0</v>
      </c>
      <c r="K473" s="29">
        <f t="shared" si="79"/>
        <v>0</v>
      </c>
      <c r="L473" s="96"/>
      <c r="M473" s="86">
        <v>1</v>
      </c>
    </row>
    <row r="474" s="86" customFormat="1" ht="72" customHeight="1" outlineLevel="2" spans="1:15">
      <c r="A474" s="103">
        <f t="shared" si="76"/>
        <v>7</v>
      </c>
      <c r="B474" s="98" t="s">
        <v>105</v>
      </c>
      <c r="C474" s="99" t="s">
        <v>106</v>
      </c>
      <c r="D474" s="100" t="s">
        <v>58</v>
      </c>
      <c r="E474" s="101">
        <f>115.62+44.85*0.3+9.56*0.4</f>
        <v>132.899</v>
      </c>
      <c r="F474" s="101"/>
      <c r="G474" s="101"/>
      <c r="H474" s="101"/>
      <c r="I474" s="27">
        <f t="shared" si="77"/>
        <v>0</v>
      </c>
      <c r="J474" s="28">
        <f t="shared" si="78"/>
        <v>0</v>
      </c>
      <c r="K474" s="29">
        <f t="shared" si="79"/>
        <v>0</v>
      </c>
      <c r="L474" s="96"/>
      <c r="M474" s="86">
        <v>1</v>
      </c>
    </row>
    <row r="475" s="86" customFormat="1" ht="72" customHeight="1" outlineLevel="2" spans="1:15">
      <c r="A475" s="103">
        <f t="shared" si="76"/>
        <v>8</v>
      </c>
      <c r="B475" s="98" t="s">
        <v>265</v>
      </c>
      <c r="C475" s="99" t="s">
        <v>266</v>
      </c>
      <c r="D475" s="100" t="s">
        <v>58</v>
      </c>
      <c r="E475" s="101">
        <v>15.2</v>
      </c>
      <c r="F475" s="101"/>
      <c r="G475" s="101"/>
      <c r="H475" s="101"/>
      <c r="I475" s="27">
        <f t="shared" si="77"/>
        <v>0</v>
      </c>
      <c r="J475" s="28">
        <f t="shared" si="78"/>
        <v>0</v>
      </c>
      <c r="K475" s="29">
        <f t="shared" si="79"/>
        <v>0</v>
      </c>
      <c r="L475" s="96"/>
      <c r="M475" s="86">
        <v>1</v>
      </c>
    </row>
    <row r="476" s="86" customFormat="1" ht="24" customHeight="1" outlineLevel="1" spans="1:15">
      <c r="A476" s="97"/>
      <c r="B476" s="98" t="s">
        <v>107</v>
      </c>
      <c r="C476" s="99"/>
      <c r="D476" s="100"/>
      <c r="E476" s="101"/>
      <c r="F476" s="101"/>
      <c r="G476" s="101"/>
      <c r="H476" s="101"/>
      <c r="I476" s="101"/>
      <c r="J476" s="101"/>
      <c r="K476" s="102"/>
      <c r="L476" s="96"/>
    </row>
    <row r="477" s="86" customFormat="1" ht="48" outlineLevel="2" spans="1:15">
      <c r="A477" s="103">
        <f>1+N(A476)</f>
        <v>1</v>
      </c>
      <c r="B477" s="98" t="s">
        <v>267</v>
      </c>
      <c r="C477" s="99" t="s">
        <v>268</v>
      </c>
      <c r="D477" s="100" t="s">
        <v>58</v>
      </c>
      <c r="E477" s="101">
        <f>5*1.81*3.4</f>
        <v>30.77</v>
      </c>
      <c r="F477" s="101"/>
      <c r="G477" s="101"/>
      <c r="H477" s="101"/>
      <c r="I477" s="27">
        <f>(F477+G477+H477)*$I$3</f>
        <v>0</v>
      </c>
      <c r="J477" s="28">
        <f>ROUND(SUM(F477:I477),2)</f>
        <v>0</v>
      </c>
      <c r="K477" s="29">
        <f>ROUND(J477*E477,2)</f>
        <v>0</v>
      </c>
      <c r="L477" s="96"/>
      <c r="M477" s="86">
        <v>1</v>
      </c>
    </row>
    <row r="478" s="86" customFormat="1" ht="72" outlineLevel="2" spans="1:15">
      <c r="A478" s="103">
        <f>1+N(A477)</f>
        <v>2</v>
      </c>
      <c r="B478" s="98" t="s">
        <v>269</v>
      </c>
      <c r="C478" s="99" t="s">
        <v>270</v>
      </c>
      <c r="D478" s="100" t="s">
        <v>151</v>
      </c>
      <c r="E478" s="101">
        <v>1</v>
      </c>
      <c r="F478" s="101"/>
      <c r="G478" s="101"/>
      <c r="H478" s="101"/>
      <c r="I478" s="27">
        <f>(F478+G478+H478)*$I$3</f>
        <v>0</v>
      </c>
      <c r="J478" s="28">
        <f>ROUND(SUM(F478:I478),2)</f>
        <v>0</v>
      </c>
      <c r="K478" s="29">
        <f>ROUND(J478*E478,2)</f>
        <v>0</v>
      </c>
      <c r="L478" s="96"/>
      <c r="M478" s="86">
        <v>1</v>
      </c>
    </row>
    <row r="479" s="86" customFormat="1" ht="24" customHeight="1" outlineLevel="1" spans="1:15">
      <c r="A479" s="92" t="s">
        <v>53</v>
      </c>
      <c r="B479" s="93" t="s">
        <v>271</v>
      </c>
      <c r="C479" s="119"/>
      <c r="D479" s="94"/>
      <c r="E479" s="95"/>
      <c r="F479" s="95"/>
      <c r="G479" s="95"/>
      <c r="H479" s="95"/>
      <c r="I479" s="95"/>
      <c r="J479" s="95"/>
      <c r="K479" s="23"/>
      <c r="L479" s="96"/>
      <c r="O479" s="86" t="str">
        <f>_xlfn.DISPIMG("ID_3E5BE532377F40AEBC68B3C07112AFDB",1)</f>
        <v>=DISPIMG("ID_3E5BE532377F40AEBC68B3C07112AFDB",1)</v>
      </c>
    </row>
    <row r="480" s="86" customFormat="1" ht="24" customHeight="1" outlineLevel="1" spans="1:15">
      <c r="A480" s="97"/>
      <c r="B480" s="98" t="s">
        <v>55</v>
      </c>
      <c r="C480" s="99"/>
      <c r="D480" s="100"/>
      <c r="E480" s="101"/>
      <c r="F480" s="101"/>
      <c r="G480" s="101"/>
      <c r="H480" s="101"/>
      <c r="I480" s="101"/>
      <c r="J480" s="101"/>
      <c r="K480" s="102"/>
      <c r="L480" s="96"/>
    </row>
    <row r="481" s="86" customFormat="1" ht="96" outlineLevel="2" spans="1:13">
      <c r="A481" s="103">
        <f>1+N(A480)</f>
        <v>1</v>
      </c>
      <c r="B481" s="98" t="s">
        <v>56</v>
      </c>
      <c r="C481" s="99" t="s">
        <v>57</v>
      </c>
      <c r="D481" s="100" t="s">
        <v>58</v>
      </c>
      <c r="E481" s="101">
        <v>23.22</v>
      </c>
      <c r="F481" s="101"/>
      <c r="G481" s="101"/>
      <c r="H481" s="27"/>
      <c r="I481" s="27">
        <f>(F481+G481+H481)*$I$3</f>
        <v>0</v>
      </c>
      <c r="J481" s="28">
        <f>ROUND(SUM(F481:I481),2)</f>
        <v>0</v>
      </c>
      <c r="K481" s="29">
        <f>ROUND(J481*E481,2)</f>
        <v>0</v>
      </c>
      <c r="L481" s="96"/>
      <c r="M481" s="86">
        <v>1</v>
      </c>
    </row>
    <row r="482" s="86" customFormat="1" ht="108" outlineLevel="2" spans="1:13">
      <c r="A482" s="103">
        <f>1+N(A481)</f>
        <v>2</v>
      </c>
      <c r="B482" s="98" t="s">
        <v>249</v>
      </c>
      <c r="C482" s="99" t="s">
        <v>250</v>
      </c>
      <c r="D482" s="100" t="s">
        <v>58</v>
      </c>
      <c r="E482" s="101">
        <v>3.5</v>
      </c>
      <c r="F482" s="101"/>
      <c r="G482" s="101"/>
      <c r="H482" s="101"/>
      <c r="I482" s="27">
        <f>(F482+G482+H482)*$I$3</f>
        <v>0</v>
      </c>
      <c r="J482" s="28">
        <f>ROUND(SUM(F482:I482),2)</f>
        <v>0</v>
      </c>
      <c r="K482" s="29">
        <f>ROUND(J482*E482,2)</f>
        <v>0</v>
      </c>
      <c r="L482" s="96"/>
      <c r="M482" s="86">
        <v>1</v>
      </c>
    </row>
    <row r="483" s="86" customFormat="1" ht="56" customHeight="1" outlineLevel="2" spans="1:13">
      <c r="A483" s="103">
        <f>1+N(A482)</f>
        <v>3</v>
      </c>
      <c r="B483" s="98" t="s">
        <v>63</v>
      </c>
      <c r="C483" s="99" t="s">
        <v>64</v>
      </c>
      <c r="D483" s="100" t="s">
        <v>65</v>
      </c>
      <c r="E483" s="101">
        <v>7.1</v>
      </c>
      <c r="F483" s="101"/>
      <c r="G483" s="101"/>
      <c r="H483" s="101"/>
      <c r="I483" s="27">
        <f>(F483+G483+H483)*$I$3</f>
        <v>0</v>
      </c>
      <c r="J483" s="28">
        <f>ROUND(SUM(F483:I483),2)</f>
        <v>0</v>
      </c>
      <c r="K483" s="29">
        <f>ROUND(J483*E483,2)</f>
        <v>0</v>
      </c>
      <c r="L483" s="96"/>
      <c r="M483" s="86">
        <v>1</v>
      </c>
    </row>
    <row r="484" s="86" customFormat="1" ht="48" outlineLevel="2" spans="1:13">
      <c r="A484" s="103">
        <f>1+N(A483)</f>
        <v>4</v>
      </c>
      <c r="B484" s="98" t="s">
        <v>66</v>
      </c>
      <c r="C484" s="99" t="s">
        <v>67</v>
      </c>
      <c r="D484" s="100" t="s">
        <v>58</v>
      </c>
      <c r="E484" s="101">
        <v>26.72</v>
      </c>
      <c r="F484" s="101"/>
      <c r="G484" s="101"/>
      <c r="H484" s="101"/>
      <c r="I484" s="27">
        <f>(F484+G484+H484)*$I$3</f>
        <v>0</v>
      </c>
      <c r="J484" s="28">
        <f>ROUND(SUM(F484:I484),2)</f>
        <v>0</v>
      </c>
      <c r="K484" s="29">
        <f>ROUND(J484*E484,2)</f>
        <v>0</v>
      </c>
      <c r="L484" s="96"/>
      <c r="M484" s="86">
        <v>1</v>
      </c>
    </row>
    <row r="485" s="86" customFormat="1" ht="24" customHeight="1" outlineLevel="1" spans="1:13">
      <c r="A485" s="97"/>
      <c r="B485" s="98" t="s">
        <v>68</v>
      </c>
      <c r="C485" s="99"/>
      <c r="D485" s="100"/>
      <c r="E485" s="101"/>
      <c r="F485" s="101"/>
      <c r="G485" s="101"/>
      <c r="H485" s="101"/>
      <c r="I485" s="101"/>
      <c r="J485" s="101"/>
      <c r="K485" s="102"/>
      <c r="L485" s="96"/>
    </row>
    <row r="486" s="86" customFormat="1" ht="60" customHeight="1" outlineLevel="2" spans="1:13">
      <c r="A486" s="103">
        <f>1+N(A485)</f>
        <v>1</v>
      </c>
      <c r="B486" s="104" t="s">
        <v>71</v>
      </c>
      <c r="C486" s="99" t="s">
        <v>253</v>
      </c>
      <c r="D486" s="100" t="s">
        <v>58</v>
      </c>
      <c r="E486" s="101">
        <f>25.402+0.814</f>
        <v>26.216</v>
      </c>
      <c r="F486" s="101"/>
      <c r="G486" s="101"/>
      <c r="H486" s="101"/>
      <c r="I486" s="27">
        <f>(F486+G486+H486)*$I$3</f>
        <v>0</v>
      </c>
      <c r="J486" s="28">
        <f>ROUND(SUM(F486:I486),2)</f>
        <v>0</v>
      </c>
      <c r="K486" s="29">
        <f>ROUND(J486*E486,2)</f>
        <v>0</v>
      </c>
      <c r="L486" s="96"/>
      <c r="M486" s="86">
        <v>1</v>
      </c>
    </row>
    <row r="487" s="86" customFormat="1" ht="60" customHeight="1" outlineLevel="2" spans="1:13">
      <c r="A487" s="103">
        <f>1+N(A486)</f>
        <v>2</v>
      </c>
      <c r="B487" s="98" t="s">
        <v>255</v>
      </c>
      <c r="C487" s="99" t="s">
        <v>256</v>
      </c>
      <c r="D487" s="100" t="s">
        <v>58</v>
      </c>
      <c r="E487" s="101">
        <v>34.976</v>
      </c>
      <c r="F487" s="101"/>
      <c r="G487" s="101"/>
      <c r="H487" s="101"/>
      <c r="I487" s="27">
        <f>(F487+G487+H487)*$I$3</f>
        <v>0</v>
      </c>
      <c r="J487" s="28">
        <f>ROUND(SUM(F487:I487),2)</f>
        <v>0</v>
      </c>
      <c r="K487" s="29">
        <f>ROUND(J487*E487,2)</f>
        <v>0</v>
      </c>
      <c r="L487" s="96"/>
      <c r="M487" s="86">
        <v>1</v>
      </c>
    </row>
    <row r="488" s="86" customFormat="1" ht="60" customHeight="1" outlineLevel="2" spans="1:13">
      <c r="A488" s="103">
        <f>1+N(A487)</f>
        <v>3</v>
      </c>
      <c r="B488" s="98" t="s">
        <v>169</v>
      </c>
      <c r="C488" s="99" t="s">
        <v>257</v>
      </c>
      <c r="D488" s="100" t="s">
        <v>58</v>
      </c>
      <c r="E488" s="101">
        <v>32.922</v>
      </c>
      <c r="F488" s="101"/>
      <c r="G488" s="101"/>
      <c r="H488" s="101"/>
      <c r="I488" s="27">
        <f>(F488+G488+H488)*$I$3</f>
        <v>0</v>
      </c>
      <c r="J488" s="28">
        <f>ROUND(SUM(F488:I488),2)</f>
        <v>0</v>
      </c>
      <c r="K488" s="29">
        <f>ROUND(J488*E488,2)</f>
        <v>0</v>
      </c>
      <c r="L488" s="96"/>
      <c r="M488" s="86">
        <v>1</v>
      </c>
    </row>
    <row r="489" s="86" customFormat="1" ht="60" customHeight="1" outlineLevel="2" spans="1:13">
      <c r="A489" s="103">
        <f>1+N(A488)</f>
        <v>4</v>
      </c>
      <c r="B489" s="98" t="s">
        <v>82</v>
      </c>
      <c r="C489" s="106" t="s">
        <v>83</v>
      </c>
      <c r="D489" s="100" t="s">
        <v>58</v>
      </c>
      <c r="E489" s="101">
        <v>0.252</v>
      </c>
      <c r="F489" s="101"/>
      <c r="G489" s="101"/>
      <c r="H489" s="101"/>
      <c r="I489" s="27">
        <f>(F489+G489+H489)*$I$3</f>
        <v>0</v>
      </c>
      <c r="J489" s="28">
        <f>ROUND(SUM(F489:I489),2)</f>
        <v>0</v>
      </c>
      <c r="K489" s="29">
        <f>ROUND(J489*E489,2)</f>
        <v>0</v>
      </c>
      <c r="L489" s="96"/>
      <c r="M489" s="86">
        <v>1</v>
      </c>
    </row>
    <row r="490" s="86" customFormat="1" ht="60" customHeight="1" outlineLevel="2" spans="1:13">
      <c r="A490" s="103">
        <f>1+N(A489)</f>
        <v>5</v>
      </c>
      <c r="B490" s="98" t="s">
        <v>86</v>
      </c>
      <c r="C490" s="99" t="s">
        <v>87</v>
      </c>
      <c r="D490" s="100" t="s">
        <v>65</v>
      </c>
      <c r="E490" s="101">
        <v>27.791</v>
      </c>
      <c r="F490" s="101"/>
      <c r="G490" s="101"/>
      <c r="H490" s="101"/>
      <c r="I490" s="27">
        <f>(F490+G490+H490)*$I$3</f>
        <v>0</v>
      </c>
      <c r="J490" s="28">
        <f>ROUND(SUM(F490:I490),2)</f>
        <v>0</v>
      </c>
      <c r="K490" s="29">
        <f>ROUND(J490*E490,2)</f>
        <v>0</v>
      </c>
      <c r="L490" s="96"/>
      <c r="M490" s="86">
        <v>1</v>
      </c>
    </row>
    <row r="491" s="86" customFormat="1" ht="24" customHeight="1" outlineLevel="1" spans="1:13">
      <c r="A491" s="97"/>
      <c r="B491" s="98" t="s">
        <v>96</v>
      </c>
      <c r="C491" s="99"/>
      <c r="D491" s="100"/>
      <c r="E491" s="101"/>
      <c r="F491" s="101"/>
      <c r="G491" s="101"/>
      <c r="H491" s="101"/>
      <c r="I491" s="101"/>
      <c r="J491" s="101"/>
      <c r="K491" s="102"/>
      <c r="L491" s="96"/>
    </row>
    <row r="492" s="86" customFormat="1" ht="96" outlineLevel="2" spans="1:13">
      <c r="A492" s="103">
        <f t="shared" ref="A492:A497" si="80">1+N(A491)</f>
        <v>1</v>
      </c>
      <c r="B492" s="98" t="s">
        <v>272</v>
      </c>
      <c r="C492" s="108" t="s">
        <v>98</v>
      </c>
      <c r="D492" s="100" t="s">
        <v>58</v>
      </c>
      <c r="E492" s="101">
        <v>26.72</v>
      </c>
      <c r="F492" s="101"/>
      <c r="G492" s="101"/>
      <c r="H492" s="101"/>
      <c r="I492" s="27">
        <f t="shared" ref="I492:I497" si="81">(F492+G492+H492)*$I$3</f>
        <v>0</v>
      </c>
      <c r="J492" s="28">
        <f t="shared" ref="J492:J497" si="82">ROUND(SUM(F492:I492),2)</f>
        <v>0</v>
      </c>
      <c r="K492" s="29">
        <f t="shared" ref="K492:K497" si="83">ROUND(J492*E492,2)</f>
        <v>0</v>
      </c>
      <c r="L492" s="96"/>
      <c r="M492" s="86">
        <v>1</v>
      </c>
    </row>
    <row r="493" s="86" customFormat="1" ht="72" customHeight="1" outlineLevel="2" spans="1:13">
      <c r="A493" s="103">
        <f t="shared" si="80"/>
        <v>2</v>
      </c>
      <c r="B493" s="98" t="s">
        <v>128</v>
      </c>
      <c r="C493" s="108" t="s">
        <v>129</v>
      </c>
      <c r="D493" s="100" t="s">
        <v>58</v>
      </c>
      <c r="E493" s="101">
        <v>2.58</v>
      </c>
      <c r="F493" s="101"/>
      <c r="G493" s="101"/>
      <c r="H493" s="101"/>
      <c r="I493" s="27">
        <f t="shared" si="81"/>
        <v>0</v>
      </c>
      <c r="J493" s="28">
        <f t="shared" si="82"/>
        <v>0</v>
      </c>
      <c r="K493" s="29">
        <f t="shared" si="83"/>
        <v>0</v>
      </c>
      <c r="L493" s="96"/>
      <c r="M493" s="86">
        <v>1</v>
      </c>
    </row>
    <row r="494" s="86" customFormat="1" ht="60" customHeight="1" outlineLevel="2" spans="1:13">
      <c r="A494" s="103">
        <f t="shared" si="80"/>
        <v>3</v>
      </c>
      <c r="B494" s="98" t="s">
        <v>103</v>
      </c>
      <c r="C494" s="99" t="s">
        <v>104</v>
      </c>
      <c r="D494" s="100" t="s">
        <v>65</v>
      </c>
      <c r="E494" s="101">
        <f>1.2*2*1</f>
        <v>2.4</v>
      </c>
      <c r="F494" s="101"/>
      <c r="G494" s="101"/>
      <c r="H494" s="101"/>
      <c r="I494" s="27">
        <f t="shared" si="81"/>
        <v>0</v>
      </c>
      <c r="J494" s="28">
        <f t="shared" si="82"/>
        <v>0</v>
      </c>
      <c r="K494" s="29">
        <f t="shared" si="83"/>
        <v>0</v>
      </c>
      <c r="L494" s="96"/>
      <c r="M494" s="86">
        <v>1</v>
      </c>
    </row>
    <row r="495" s="86" customFormat="1" ht="60" customHeight="1" outlineLevel="2" spans="1:13">
      <c r="A495" s="103">
        <f t="shared" si="80"/>
        <v>4</v>
      </c>
      <c r="B495" s="98" t="s">
        <v>99</v>
      </c>
      <c r="C495" s="99" t="s">
        <v>100</v>
      </c>
      <c r="D495" s="100" t="s">
        <v>65</v>
      </c>
      <c r="E495" s="101">
        <v>7.84</v>
      </c>
      <c r="F495" s="101"/>
      <c r="G495" s="101"/>
      <c r="H495" s="101"/>
      <c r="I495" s="27">
        <f t="shared" si="81"/>
        <v>0</v>
      </c>
      <c r="J495" s="28">
        <f t="shared" si="82"/>
        <v>0</v>
      </c>
      <c r="K495" s="29">
        <f t="shared" si="83"/>
        <v>0</v>
      </c>
      <c r="L495" s="96"/>
      <c r="M495" s="86">
        <v>1</v>
      </c>
    </row>
    <row r="496" s="86" customFormat="1" ht="60" customHeight="1" outlineLevel="2" spans="1:13">
      <c r="A496" s="103">
        <f t="shared" si="80"/>
        <v>5</v>
      </c>
      <c r="B496" s="98" t="s">
        <v>101</v>
      </c>
      <c r="C496" s="99" t="s">
        <v>102</v>
      </c>
      <c r="D496" s="100" t="s">
        <v>65</v>
      </c>
      <c r="E496" s="101">
        <v>7.84</v>
      </c>
      <c r="F496" s="101"/>
      <c r="G496" s="101"/>
      <c r="H496" s="101"/>
      <c r="I496" s="27">
        <f t="shared" si="81"/>
        <v>0</v>
      </c>
      <c r="J496" s="28">
        <f t="shared" si="82"/>
        <v>0</v>
      </c>
      <c r="K496" s="29">
        <f t="shared" si="83"/>
        <v>0</v>
      </c>
      <c r="L496" s="96"/>
      <c r="M496" s="86">
        <v>1</v>
      </c>
    </row>
    <row r="497" s="86" customFormat="1" ht="72" customHeight="1" outlineLevel="2" spans="1:15">
      <c r="A497" s="103">
        <f t="shared" si="80"/>
        <v>6</v>
      </c>
      <c r="B497" s="98" t="s">
        <v>105</v>
      </c>
      <c r="C497" s="99" t="s">
        <v>106</v>
      </c>
      <c r="D497" s="100" t="s">
        <v>58</v>
      </c>
      <c r="E497" s="101">
        <f>26.72+7.84*0.3+7.5*0.5</f>
        <v>32.822</v>
      </c>
      <c r="F497" s="101"/>
      <c r="G497" s="101"/>
      <c r="H497" s="101"/>
      <c r="I497" s="27">
        <f t="shared" si="81"/>
        <v>0</v>
      </c>
      <c r="J497" s="28">
        <f t="shared" si="82"/>
        <v>0</v>
      </c>
      <c r="K497" s="29">
        <f t="shared" si="83"/>
        <v>0</v>
      </c>
      <c r="L497" s="96"/>
      <c r="M497" s="86">
        <v>1</v>
      </c>
    </row>
    <row r="498" s="86" customFormat="1" ht="24" customHeight="1" outlineLevel="1" spans="1:15">
      <c r="A498" s="97"/>
      <c r="B498" s="98" t="s">
        <v>107</v>
      </c>
      <c r="C498" s="99"/>
      <c r="D498" s="100"/>
      <c r="E498" s="101"/>
      <c r="F498" s="101"/>
      <c r="G498" s="101"/>
      <c r="H498" s="101"/>
      <c r="I498" s="101"/>
      <c r="J498" s="101"/>
      <c r="K498" s="102"/>
      <c r="L498" s="96"/>
    </row>
    <row r="499" s="86" customFormat="1" ht="36" outlineLevel="2" spans="1:15">
      <c r="A499" s="103">
        <f>1+N(A498)</f>
        <v>1</v>
      </c>
      <c r="B499" s="98" t="s">
        <v>121</v>
      </c>
      <c r="C499" s="99" t="s">
        <v>109</v>
      </c>
      <c r="D499" s="100" t="s">
        <v>58</v>
      </c>
      <c r="E499" s="101">
        <f>0.8*3.4</f>
        <v>2.72</v>
      </c>
      <c r="F499" s="101"/>
      <c r="G499" s="101"/>
      <c r="H499" s="101"/>
      <c r="I499" s="27">
        <f>(F499+G499+H499)*$I$3</f>
        <v>0</v>
      </c>
      <c r="J499" s="28">
        <f>ROUND(SUM(F499:I499),2)</f>
        <v>0</v>
      </c>
      <c r="K499" s="29">
        <f>ROUND(J499*E499,2)</f>
        <v>0</v>
      </c>
      <c r="L499" s="96"/>
      <c r="M499" s="86">
        <v>1</v>
      </c>
    </row>
    <row r="500" s="86" customFormat="1" ht="36" outlineLevel="2" spans="1:15">
      <c r="A500" s="103">
        <f>1+N(A499)</f>
        <v>2</v>
      </c>
      <c r="B500" s="98" t="s">
        <v>273</v>
      </c>
      <c r="C500" s="99" t="s">
        <v>109</v>
      </c>
      <c r="D500" s="100" t="s">
        <v>58</v>
      </c>
      <c r="E500" s="101">
        <f>1*3.4</f>
        <v>3.4</v>
      </c>
      <c r="F500" s="101"/>
      <c r="G500" s="101"/>
      <c r="H500" s="101"/>
      <c r="I500" s="27">
        <f>(F500+G500+H500)*$I$3</f>
        <v>0</v>
      </c>
      <c r="J500" s="28">
        <f>ROUND(SUM(F500:I500),2)</f>
        <v>0</v>
      </c>
      <c r="K500" s="29">
        <f>ROUND(J500*E500,2)</f>
        <v>0</v>
      </c>
      <c r="L500" s="96"/>
      <c r="M500" s="86">
        <v>1</v>
      </c>
    </row>
    <row r="501" s="86" customFormat="1" ht="24" customHeight="1" outlineLevel="1" spans="1:15">
      <c r="A501" s="92" t="s">
        <v>114</v>
      </c>
      <c r="B501" s="93" t="s">
        <v>274</v>
      </c>
      <c r="C501" s="119"/>
      <c r="D501" s="94"/>
      <c r="E501" s="95"/>
      <c r="F501" s="95"/>
      <c r="G501" s="95"/>
      <c r="H501" s="95"/>
      <c r="I501" s="95"/>
      <c r="J501" s="95"/>
      <c r="K501" s="23"/>
      <c r="L501" s="96"/>
      <c r="O501" s="86" t="str">
        <f>_xlfn.DISPIMG("ID_8A814E5DB4FF4E14942A30434ADDD1AE",1)</f>
        <v>=DISPIMG("ID_8A814E5DB4FF4E14942A30434ADDD1AE",1)</v>
      </c>
    </row>
    <row r="502" s="86" customFormat="1" ht="24" customHeight="1" outlineLevel="1" spans="1:15">
      <c r="A502" s="97"/>
      <c r="B502" s="98" t="s">
        <v>55</v>
      </c>
      <c r="C502" s="99"/>
      <c r="D502" s="100"/>
      <c r="E502" s="101"/>
      <c r="F502" s="101"/>
      <c r="G502" s="101"/>
      <c r="H502" s="101"/>
      <c r="I502" s="101"/>
      <c r="J502" s="101"/>
      <c r="K502" s="102"/>
      <c r="L502" s="96"/>
    </row>
    <row r="503" s="86" customFormat="1" ht="96" outlineLevel="2" spans="1:15">
      <c r="A503" s="103">
        <f>1+N(A502)</f>
        <v>1</v>
      </c>
      <c r="B503" s="98" t="s">
        <v>275</v>
      </c>
      <c r="C503" s="99" t="s">
        <v>276</v>
      </c>
      <c r="D503" s="100" t="s">
        <v>58</v>
      </c>
      <c r="E503" s="101">
        <v>17.86</v>
      </c>
      <c r="F503" s="101"/>
      <c r="G503" s="101"/>
      <c r="H503" s="27"/>
      <c r="I503" s="27">
        <f>(F503+G503+H503)*$I$3</f>
        <v>0</v>
      </c>
      <c r="J503" s="28">
        <f>ROUND(SUM(F503:I503),2)</f>
        <v>0</v>
      </c>
      <c r="K503" s="29">
        <f>ROUND(J503*E503,2)</f>
        <v>0</v>
      </c>
      <c r="L503" s="96"/>
      <c r="M503" s="86">
        <v>1</v>
      </c>
    </row>
    <row r="504" s="86" customFormat="1" ht="24" customHeight="1" outlineLevel="1" spans="1:15">
      <c r="A504" s="97"/>
      <c r="B504" s="98" t="s">
        <v>68</v>
      </c>
      <c r="C504" s="99"/>
      <c r="D504" s="100"/>
      <c r="E504" s="101"/>
      <c r="F504" s="101"/>
      <c r="G504" s="101"/>
      <c r="H504" s="101"/>
      <c r="I504" s="101"/>
      <c r="J504" s="101"/>
      <c r="K504" s="102"/>
      <c r="L504" s="96"/>
    </row>
    <row r="505" s="86" customFormat="1" ht="24" customHeight="1" outlineLevel="1" spans="1:15">
      <c r="A505" s="97"/>
      <c r="B505" s="98" t="s">
        <v>96</v>
      </c>
      <c r="C505" s="99"/>
      <c r="D505" s="100"/>
      <c r="E505" s="101"/>
      <c r="F505" s="101"/>
      <c r="G505" s="101"/>
      <c r="H505" s="101"/>
      <c r="I505" s="101"/>
      <c r="J505" s="101"/>
      <c r="K505" s="102"/>
      <c r="L505" s="96"/>
    </row>
    <row r="506" s="86" customFormat="1" ht="72" customHeight="1" outlineLevel="2" spans="1:15">
      <c r="A506" s="103">
        <f>1+N(A505)</f>
        <v>1</v>
      </c>
      <c r="B506" s="98" t="s">
        <v>277</v>
      </c>
      <c r="C506" s="99" t="s">
        <v>278</v>
      </c>
      <c r="D506" s="100" t="s">
        <v>58</v>
      </c>
      <c r="E506" s="101">
        <v>17.86</v>
      </c>
      <c r="F506" s="101"/>
      <c r="G506" s="101"/>
      <c r="H506" s="101"/>
      <c r="I506" s="27">
        <f>(F506+G506+H506)*$I$3</f>
        <v>0</v>
      </c>
      <c r="J506" s="28">
        <f>ROUND(SUM(F506:I506),2)</f>
        <v>0</v>
      </c>
      <c r="K506" s="29">
        <f>ROUND(J506*E506,2)</f>
        <v>0</v>
      </c>
      <c r="L506" s="96"/>
      <c r="M506" s="86">
        <v>1</v>
      </c>
    </row>
    <row r="507" s="86" customFormat="1" ht="24" customHeight="1" outlineLevel="1" spans="1:15">
      <c r="A507" s="97"/>
      <c r="B507" s="98" t="s">
        <v>107</v>
      </c>
      <c r="C507" s="99"/>
      <c r="D507" s="100"/>
      <c r="E507" s="101"/>
      <c r="F507" s="101"/>
      <c r="G507" s="101"/>
      <c r="H507" s="101"/>
      <c r="I507" s="101"/>
      <c r="J507" s="101"/>
      <c r="K507" s="102"/>
      <c r="L507" s="96"/>
    </row>
    <row r="508" s="86" customFormat="1" ht="24" customHeight="1" outlineLevel="1" spans="1:15">
      <c r="A508" s="92" t="s">
        <v>122</v>
      </c>
      <c r="B508" s="93" t="s">
        <v>279</v>
      </c>
      <c r="C508" s="119"/>
      <c r="D508" s="94"/>
      <c r="E508" s="95"/>
      <c r="F508" s="95"/>
      <c r="G508" s="95"/>
      <c r="H508" s="95"/>
      <c r="I508" s="95"/>
      <c r="J508" s="95"/>
      <c r="K508" s="23"/>
      <c r="L508" s="96"/>
      <c r="O508" s="86" t="str">
        <f>_xlfn.DISPIMG("ID_B536854564CA4B8197B26E4B6442191E",1)</f>
        <v>=DISPIMG("ID_B536854564CA4B8197B26E4B6442191E",1)</v>
      </c>
    </row>
    <row r="509" s="86" customFormat="1" ht="24" customHeight="1" outlineLevel="1" spans="1:15">
      <c r="A509" s="97"/>
      <c r="B509" s="98" t="s">
        <v>55</v>
      </c>
      <c r="C509" s="99"/>
      <c r="D509" s="100"/>
      <c r="E509" s="101"/>
      <c r="F509" s="101"/>
      <c r="G509" s="101"/>
      <c r="H509" s="101"/>
      <c r="I509" s="101"/>
      <c r="J509" s="101"/>
      <c r="K509" s="102"/>
      <c r="L509" s="96"/>
    </row>
    <row r="510" s="86" customFormat="1" ht="60" customHeight="1" outlineLevel="2" spans="1:15">
      <c r="A510" s="103">
        <f t="shared" ref="A510:A515" si="84">1+N(A509)</f>
        <v>1</v>
      </c>
      <c r="B510" s="98" t="s">
        <v>178</v>
      </c>
      <c r="C510" s="99" t="s">
        <v>179</v>
      </c>
      <c r="D510" s="100" t="s">
        <v>58</v>
      </c>
      <c r="E510" s="101">
        <v>25.33</v>
      </c>
      <c r="F510" s="101"/>
      <c r="G510" s="101"/>
      <c r="H510" s="101"/>
      <c r="I510" s="27">
        <f t="shared" ref="I510:I515" si="85">(F510+G510+H510)*$I$3</f>
        <v>0</v>
      </c>
      <c r="J510" s="28">
        <f t="shared" ref="J510:J515" si="86">ROUND(SUM(F510:I510),2)</f>
        <v>0</v>
      </c>
      <c r="K510" s="29">
        <f t="shared" ref="K510:K515" si="87">ROUND(J510*E510,2)</f>
        <v>0</v>
      </c>
      <c r="L510" s="96"/>
      <c r="M510" s="86">
        <v>1</v>
      </c>
    </row>
    <row r="511" s="86" customFormat="1" ht="60" customHeight="1" outlineLevel="2" spans="1:15">
      <c r="A511" s="103">
        <f t="shared" si="84"/>
        <v>2</v>
      </c>
      <c r="B511" s="98" t="s">
        <v>180</v>
      </c>
      <c r="C511" s="99" t="s">
        <v>181</v>
      </c>
      <c r="D511" s="100" t="s">
        <v>58</v>
      </c>
      <c r="E511" s="101">
        <v>25.33</v>
      </c>
      <c r="F511" s="101"/>
      <c r="G511" s="101"/>
      <c r="H511" s="101"/>
      <c r="I511" s="27">
        <f t="shared" si="85"/>
        <v>0</v>
      </c>
      <c r="J511" s="28">
        <f t="shared" si="86"/>
        <v>0</v>
      </c>
      <c r="K511" s="29">
        <f t="shared" si="87"/>
        <v>0</v>
      </c>
      <c r="L511" s="96"/>
      <c r="M511" s="86">
        <v>1</v>
      </c>
    </row>
    <row r="512" s="86" customFormat="1" ht="48" customHeight="1" outlineLevel="2" spans="1:15">
      <c r="A512" s="103">
        <f t="shared" si="84"/>
        <v>3</v>
      </c>
      <c r="B512" s="98" t="s">
        <v>182</v>
      </c>
      <c r="C512" s="99" t="s">
        <v>183</v>
      </c>
      <c r="D512" s="100" t="s">
        <v>58</v>
      </c>
      <c r="E512" s="101">
        <v>25.33</v>
      </c>
      <c r="F512" s="101"/>
      <c r="G512" s="101"/>
      <c r="H512" s="101"/>
      <c r="I512" s="27">
        <f t="shared" si="85"/>
        <v>0</v>
      </c>
      <c r="J512" s="28">
        <f t="shared" si="86"/>
        <v>0</v>
      </c>
      <c r="K512" s="29">
        <f t="shared" si="87"/>
        <v>0</v>
      </c>
      <c r="L512" s="96"/>
      <c r="M512" s="86">
        <v>1</v>
      </c>
    </row>
    <row r="513" s="86" customFormat="1" ht="48" customHeight="1" outlineLevel="2" spans="1:13">
      <c r="A513" s="103">
        <f t="shared" si="84"/>
        <v>4</v>
      </c>
      <c r="B513" s="104" t="s">
        <v>184</v>
      </c>
      <c r="C513" s="113" t="s">
        <v>185</v>
      </c>
      <c r="D513" s="100" t="s">
        <v>58</v>
      </c>
      <c r="E513" s="101">
        <v>25.33</v>
      </c>
      <c r="F513" s="101"/>
      <c r="G513" s="101"/>
      <c r="H513" s="101"/>
      <c r="I513" s="27">
        <f t="shared" si="85"/>
        <v>0</v>
      </c>
      <c r="J513" s="28">
        <f t="shared" si="86"/>
        <v>0</v>
      </c>
      <c r="K513" s="29">
        <f t="shared" si="87"/>
        <v>0</v>
      </c>
      <c r="L513" s="96"/>
      <c r="M513" s="86">
        <v>1</v>
      </c>
    </row>
    <row r="514" s="86" customFormat="1" ht="84" customHeight="1" outlineLevel="2" spans="1:13">
      <c r="A514" s="103">
        <f t="shared" si="84"/>
        <v>5</v>
      </c>
      <c r="B514" s="98" t="s">
        <v>56</v>
      </c>
      <c r="C514" s="99" t="s">
        <v>57</v>
      </c>
      <c r="D514" s="100" t="s">
        <v>58</v>
      </c>
      <c r="E514" s="101">
        <v>25.33</v>
      </c>
      <c r="F514" s="101"/>
      <c r="G514" s="101"/>
      <c r="H514" s="27"/>
      <c r="I514" s="27">
        <f t="shared" si="85"/>
        <v>0</v>
      </c>
      <c r="J514" s="28">
        <f t="shared" si="86"/>
        <v>0</v>
      </c>
      <c r="K514" s="29">
        <f t="shared" si="87"/>
        <v>0</v>
      </c>
      <c r="L514" s="96"/>
      <c r="M514" s="86">
        <v>1</v>
      </c>
    </row>
    <row r="515" s="86" customFormat="1" ht="84" customHeight="1" outlineLevel="2" spans="1:13">
      <c r="A515" s="103">
        <f t="shared" si="84"/>
        <v>6</v>
      </c>
      <c r="B515" s="98" t="s">
        <v>66</v>
      </c>
      <c r="C515" s="99" t="s">
        <v>67</v>
      </c>
      <c r="D515" s="100" t="s">
        <v>58</v>
      </c>
      <c r="E515" s="101">
        <v>25.33</v>
      </c>
      <c r="F515" s="101"/>
      <c r="G515" s="101"/>
      <c r="H515" s="101"/>
      <c r="I515" s="27">
        <f t="shared" si="85"/>
        <v>0</v>
      </c>
      <c r="J515" s="28">
        <f t="shared" si="86"/>
        <v>0</v>
      </c>
      <c r="K515" s="29">
        <f t="shared" si="87"/>
        <v>0</v>
      </c>
      <c r="L515" s="96"/>
      <c r="M515" s="86">
        <v>1</v>
      </c>
    </row>
    <row r="516" s="86" customFormat="1" ht="24" customHeight="1" outlineLevel="1" spans="1:13">
      <c r="A516" s="97"/>
      <c r="B516" s="98" t="s">
        <v>68</v>
      </c>
      <c r="C516" s="99"/>
      <c r="D516" s="100"/>
      <c r="E516" s="101"/>
      <c r="F516" s="101"/>
      <c r="G516" s="101"/>
      <c r="H516" s="101"/>
      <c r="I516" s="101"/>
      <c r="J516" s="101"/>
      <c r="K516" s="102"/>
      <c r="L516" s="96"/>
    </row>
    <row r="517" s="86" customFormat="1" ht="96" outlineLevel="2" spans="1:13">
      <c r="A517" s="103">
        <f t="shared" ref="A517:A524" si="88">1+N(A516)</f>
        <v>1</v>
      </c>
      <c r="B517" s="98" t="s">
        <v>280</v>
      </c>
      <c r="C517" s="99" t="s">
        <v>281</v>
      </c>
      <c r="D517" s="100" t="s">
        <v>58</v>
      </c>
      <c r="E517" s="101">
        <v>3.452</v>
      </c>
      <c r="F517" s="101"/>
      <c r="G517" s="101"/>
      <c r="H517" s="101"/>
      <c r="I517" s="27">
        <f t="shared" ref="I517:I524" si="89">(F517+G517+H517)*$I$3</f>
        <v>0</v>
      </c>
      <c r="J517" s="28">
        <f t="shared" ref="J517:J524" si="90">ROUND(SUM(F517:I517),2)</f>
        <v>0</v>
      </c>
      <c r="K517" s="29">
        <f t="shared" ref="K517:K524" si="91">ROUND(J517*E517,2)</f>
        <v>0</v>
      </c>
      <c r="L517" s="96"/>
      <c r="M517" s="86">
        <v>1</v>
      </c>
    </row>
    <row r="518" s="86" customFormat="1" ht="60" outlineLevel="2" spans="1:13">
      <c r="A518" s="103">
        <f t="shared" si="88"/>
        <v>2</v>
      </c>
      <c r="B518" s="98" t="s">
        <v>282</v>
      </c>
      <c r="C518" s="99" t="s">
        <v>283</v>
      </c>
      <c r="D518" s="100" t="s">
        <v>58</v>
      </c>
      <c r="E518" s="101">
        <v>14.806</v>
      </c>
      <c r="F518" s="101"/>
      <c r="G518" s="101"/>
      <c r="H518" s="101"/>
      <c r="I518" s="27">
        <f t="shared" si="89"/>
        <v>0</v>
      </c>
      <c r="J518" s="28">
        <f t="shared" si="90"/>
        <v>0</v>
      </c>
      <c r="K518" s="29">
        <f t="shared" si="91"/>
        <v>0</v>
      </c>
      <c r="L518" s="96"/>
      <c r="M518" s="86">
        <v>1</v>
      </c>
    </row>
    <row r="519" s="86" customFormat="1" ht="36" outlineLevel="2" spans="1:13">
      <c r="A519" s="103">
        <f t="shared" si="88"/>
        <v>3</v>
      </c>
      <c r="B519" s="98" t="s">
        <v>284</v>
      </c>
      <c r="C519" s="99" t="s">
        <v>285</v>
      </c>
      <c r="D519" s="100" t="s">
        <v>58</v>
      </c>
      <c r="E519" s="101">
        <v>71.735</v>
      </c>
      <c r="F519" s="101"/>
      <c r="G519" s="101"/>
      <c r="H519" s="101"/>
      <c r="I519" s="27">
        <f t="shared" si="89"/>
        <v>0</v>
      </c>
      <c r="J519" s="28">
        <f t="shared" si="90"/>
        <v>0</v>
      </c>
      <c r="K519" s="29">
        <f t="shared" si="91"/>
        <v>0</v>
      </c>
      <c r="L519" s="96"/>
      <c r="M519" s="86">
        <v>1</v>
      </c>
    </row>
    <row r="520" s="86" customFormat="1" ht="60" outlineLevel="2" spans="1:13">
      <c r="A520" s="103">
        <f t="shared" si="88"/>
        <v>4</v>
      </c>
      <c r="B520" s="98" t="s">
        <v>186</v>
      </c>
      <c r="C520" s="99" t="s">
        <v>286</v>
      </c>
      <c r="D520" s="100" t="s">
        <v>58</v>
      </c>
      <c r="E520" s="101">
        <v>13.733</v>
      </c>
      <c r="F520" s="101"/>
      <c r="G520" s="101"/>
      <c r="H520" s="101"/>
      <c r="I520" s="27">
        <f t="shared" si="89"/>
        <v>0</v>
      </c>
      <c r="J520" s="28">
        <f t="shared" si="90"/>
        <v>0</v>
      </c>
      <c r="K520" s="29">
        <f t="shared" si="91"/>
        <v>0</v>
      </c>
      <c r="L520" s="96"/>
      <c r="M520" s="86">
        <v>1</v>
      </c>
    </row>
    <row r="521" s="86" customFormat="1" ht="24" outlineLevel="2" spans="1:13">
      <c r="A521" s="103">
        <f t="shared" si="88"/>
        <v>5</v>
      </c>
      <c r="B521" s="98" t="s">
        <v>188</v>
      </c>
      <c r="C521" s="99" t="s">
        <v>189</v>
      </c>
      <c r="D521" s="100" t="s">
        <v>58</v>
      </c>
      <c r="E521" s="101">
        <v>119.8801</v>
      </c>
      <c r="F521" s="101"/>
      <c r="G521" s="101"/>
      <c r="H521" s="101"/>
      <c r="I521" s="27">
        <f t="shared" si="89"/>
        <v>0</v>
      </c>
      <c r="J521" s="28">
        <f t="shared" si="90"/>
        <v>0</v>
      </c>
      <c r="K521" s="29">
        <f t="shared" si="91"/>
        <v>0</v>
      </c>
      <c r="L521" s="96"/>
      <c r="M521" s="86">
        <v>1</v>
      </c>
    </row>
    <row r="522" s="86" customFormat="1" ht="48" outlineLevel="2" spans="1:13">
      <c r="A522" s="103">
        <f t="shared" si="88"/>
        <v>6</v>
      </c>
      <c r="B522" s="98" t="s">
        <v>77</v>
      </c>
      <c r="C522" s="99" t="s">
        <v>78</v>
      </c>
      <c r="D522" s="100" t="s">
        <v>58</v>
      </c>
      <c r="E522" s="101">
        <f>0.222*3.4*2</f>
        <v>1.5096</v>
      </c>
      <c r="F522" s="101"/>
      <c r="G522" s="101"/>
      <c r="H522" s="101"/>
      <c r="I522" s="27">
        <f t="shared" si="89"/>
        <v>0</v>
      </c>
      <c r="J522" s="28">
        <f t="shared" si="90"/>
        <v>0</v>
      </c>
      <c r="K522" s="29">
        <f t="shared" si="91"/>
        <v>0</v>
      </c>
      <c r="L522" s="96"/>
      <c r="M522" s="86">
        <v>1</v>
      </c>
    </row>
    <row r="523" s="86" customFormat="1" ht="48" outlineLevel="2" spans="1:13">
      <c r="A523" s="103">
        <f t="shared" si="88"/>
        <v>7</v>
      </c>
      <c r="B523" s="98" t="s">
        <v>86</v>
      </c>
      <c r="C523" s="99" t="s">
        <v>87</v>
      </c>
      <c r="D523" s="100" t="s">
        <v>65</v>
      </c>
      <c r="E523" s="101">
        <v>26.741</v>
      </c>
      <c r="F523" s="101"/>
      <c r="G523" s="101"/>
      <c r="H523" s="101"/>
      <c r="I523" s="27">
        <f t="shared" si="89"/>
        <v>0</v>
      </c>
      <c r="J523" s="28">
        <f t="shared" si="90"/>
        <v>0</v>
      </c>
      <c r="K523" s="29">
        <f t="shared" si="91"/>
        <v>0</v>
      </c>
      <c r="L523" s="96"/>
      <c r="M523" s="86">
        <v>1</v>
      </c>
    </row>
    <row r="524" s="86" customFormat="1" ht="36" outlineLevel="2" spans="1:13">
      <c r="A524" s="103">
        <f t="shared" si="88"/>
        <v>8</v>
      </c>
      <c r="B524" s="98" t="s">
        <v>234</v>
      </c>
      <c r="C524" s="99" t="s">
        <v>235</v>
      </c>
      <c r="D524" s="105" t="s">
        <v>58</v>
      </c>
      <c r="E524" s="101">
        <f>6.25*2*0.095</f>
        <v>1.1875</v>
      </c>
      <c r="F524" s="101"/>
      <c r="G524" s="101"/>
      <c r="H524" s="101"/>
      <c r="I524" s="27">
        <f t="shared" si="89"/>
        <v>0</v>
      </c>
      <c r="J524" s="28">
        <f t="shared" si="90"/>
        <v>0</v>
      </c>
      <c r="K524" s="29">
        <f t="shared" si="91"/>
        <v>0</v>
      </c>
      <c r="L524" s="96"/>
      <c r="M524" s="86">
        <v>1</v>
      </c>
    </row>
    <row r="525" s="86" customFormat="1" ht="24" customHeight="1" outlineLevel="1" spans="1:13">
      <c r="A525" s="97"/>
      <c r="B525" s="98" t="s">
        <v>96</v>
      </c>
      <c r="C525" s="99"/>
      <c r="D525" s="100"/>
      <c r="E525" s="101"/>
      <c r="F525" s="101"/>
      <c r="G525" s="101"/>
      <c r="H525" s="101"/>
      <c r="I525" s="101"/>
      <c r="J525" s="101"/>
      <c r="K525" s="102"/>
      <c r="L525" s="96"/>
    </row>
    <row r="526" s="86" customFormat="1" ht="96" outlineLevel="2" spans="1:13">
      <c r="A526" s="103">
        <f>1+N(A525)</f>
        <v>1</v>
      </c>
      <c r="B526" s="98" t="s">
        <v>97</v>
      </c>
      <c r="C526" s="108" t="s">
        <v>98</v>
      </c>
      <c r="D526" s="100" t="s">
        <v>58</v>
      </c>
      <c r="E526" s="101">
        <v>25.33</v>
      </c>
      <c r="F526" s="101"/>
      <c r="G526" s="101"/>
      <c r="H526" s="101"/>
      <c r="I526" s="27">
        <f>(F526+G526+H526)*$I$3</f>
        <v>0</v>
      </c>
      <c r="J526" s="28">
        <f>ROUND(SUM(F526:I526),2)</f>
        <v>0</v>
      </c>
      <c r="K526" s="29">
        <f>ROUND(J526*E526,2)</f>
        <v>0</v>
      </c>
      <c r="L526" s="96"/>
      <c r="M526" s="86">
        <v>1</v>
      </c>
    </row>
    <row r="527" s="86" customFormat="1" ht="72" customHeight="1" outlineLevel="2" spans="1:13">
      <c r="A527" s="103">
        <f>1+N(A526)</f>
        <v>2</v>
      </c>
      <c r="B527" s="98" t="s">
        <v>99</v>
      </c>
      <c r="C527" s="99" t="s">
        <v>100</v>
      </c>
      <c r="D527" s="100" t="s">
        <v>65</v>
      </c>
      <c r="E527" s="101">
        <v>12.08</v>
      </c>
      <c r="F527" s="101"/>
      <c r="G527" s="101"/>
      <c r="H527" s="101"/>
      <c r="I527" s="27">
        <f>(F527+G527+H527)*$I$3</f>
        <v>0</v>
      </c>
      <c r="J527" s="28">
        <f>ROUND(SUM(F527:I527),2)</f>
        <v>0</v>
      </c>
      <c r="K527" s="29">
        <f>ROUND(J527*E527,2)</f>
        <v>0</v>
      </c>
      <c r="L527" s="96"/>
      <c r="M527" s="86">
        <v>1</v>
      </c>
    </row>
    <row r="528" s="86" customFormat="1" ht="72" customHeight="1" outlineLevel="2" spans="1:13">
      <c r="A528" s="103">
        <f>1+N(A527)</f>
        <v>3</v>
      </c>
      <c r="B528" s="98" t="s">
        <v>287</v>
      </c>
      <c r="C528" s="99" t="s">
        <v>288</v>
      </c>
      <c r="D528" s="100" t="s">
        <v>65</v>
      </c>
      <c r="E528" s="101">
        <f>4.76*2</f>
        <v>9.52</v>
      </c>
      <c r="F528" s="101"/>
      <c r="G528" s="101"/>
      <c r="H528" s="101"/>
      <c r="I528" s="27">
        <f>(F528+G528+H528)*$I$3</f>
        <v>0</v>
      </c>
      <c r="J528" s="28">
        <f>ROUND(SUM(F528:I528),2)</f>
        <v>0</v>
      </c>
      <c r="K528" s="29">
        <f>ROUND(J528*E528,2)</f>
        <v>0</v>
      </c>
      <c r="L528" s="96"/>
      <c r="M528" s="86">
        <v>1</v>
      </c>
    </row>
    <row r="529" s="86" customFormat="1" ht="60" customHeight="1" outlineLevel="2" spans="1:15">
      <c r="A529" s="103">
        <f>1+N(A528)</f>
        <v>4</v>
      </c>
      <c r="B529" s="98" t="s">
        <v>140</v>
      </c>
      <c r="C529" s="99" t="s">
        <v>141</v>
      </c>
      <c r="D529" s="100" t="s">
        <v>58</v>
      </c>
      <c r="E529" s="101">
        <f>25.33+12.08*0.3</f>
        <v>28.954</v>
      </c>
      <c r="F529" s="101"/>
      <c r="G529" s="101"/>
      <c r="H529" s="101"/>
      <c r="I529" s="27">
        <f>(F529+G529+H529)*$I$3</f>
        <v>0</v>
      </c>
      <c r="J529" s="28">
        <f>ROUND(SUM(F529:I529),2)</f>
        <v>0</v>
      </c>
      <c r="K529" s="29">
        <f>ROUND(J529*E529,2)</f>
        <v>0</v>
      </c>
      <c r="L529" s="96"/>
      <c r="M529" s="86">
        <v>1</v>
      </c>
    </row>
    <row r="530" s="86" customFormat="1" ht="24" customHeight="1" outlineLevel="1" spans="1:15">
      <c r="A530" s="97"/>
      <c r="B530" s="98" t="s">
        <v>289</v>
      </c>
      <c r="C530" s="99"/>
      <c r="D530" s="100"/>
      <c r="E530" s="101"/>
      <c r="F530" s="101"/>
      <c r="G530" s="101"/>
      <c r="H530" s="101"/>
      <c r="I530" s="101"/>
      <c r="J530" s="101"/>
      <c r="K530" s="102"/>
      <c r="L530" s="96"/>
    </row>
    <row r="531" s="86" customFormat="1" ht="60" outlineLevel="2" spans="1:15">
      <c r="A531" s="103">
        <f>1+N(A530)</f>
        <v>1</v>
      </c>
      <c r="B531" s="98" t="s">
        <v>290</v>
      </c>
      <c r="C531" s="99" t="s">
        <v>291</v>
      </c>
      <c r="D531" s="100" t="s">
        <v>58</v>
      </c>
      <c r="E531" s="101">
        <f>1*3.4*2</f>
        <v>6.8</v>
      </c>
      <c r="F531" s="101"/>
      <c r="G531" s="101"/>
      <c r="H531" s="101"/>
      <c r="I531" s="27">
        <f>(F531+G531+H531)*$I$3</f>
        <v>0</v>
      </c>
      <c r="J531" s="28">
        <f>ROUND(SUM(F531:I531),2)</f>
        <v>0</v>
      </c>
      <c r="K531" s="29">
        <f>ROUND(J531*E531,2)</f>
        <v>0</v>
      </c>
      <c r="L531" s="96"/>
      <c r="M531" s="86">
        <v>1</v>
      </c>
    </row>
    <row r="532" s="86" customFormat="1" ht="48" outlineLevel="2" spans="1:15">
      <c r="A532" s="103">
        <f>1+N(A531)</f>
        <v>2</v>
      </c>
      <c r="B532" s="98" t="s">
        <v>292</v>
      </c>
      <c r="C532" s="99" t="s">
        <v>293</v>
      </c>
      <c r="D532" s="100" t="s">
        <v>58</v>
      </c>
      <c r="E532" s="101">
        <f>0.65*3.4</f>
        <v>2.21</v>
      </c>
      <c r="F532" s="101"/>
      <c r="G532" s="101"/>
      <c r="H532" s="101"/>
      <c r="I532" s="27">
        <f>(F532+G532+H532)*$I$3</f>
        <v>0</v>
      </c>
      <c r="J532" s="28">
        <f>ROUND(SUM(F532:I532),2)</f>
        <v>0</v>
      </c>
      <c r="K532" s="29">
        <f>ROUND(J532*E532,2)</f>
        <v>0</v>
      </c>
      <c r="L532" s="96"/>
      <c r="M532" s="86">
        <v>1</v>
      </c>
    </row>
    <row r="533" s="86" customFormat="1" ht="72" outlineLevel="2" spans="1:15">
      <c r="A533" s="103">
        <f>1+N(A532)</f>
        <v>3</v>
      </c>
      <c r="B533" s="98" t="s">
        <v>294</v>
      </c>
      <c r="C533" s="99" t="s">
        <v>295</v>
      </c>
      <c r="D533" s="100" t="s">
        <v>151</v>
      </c>
      <c r="E533" s="101">
        <v>2</v>
      </c>
      <c r="F533" s="101"/>
      <c r="G533" s="101"/>
      <c r="H533" s="101"/>
      <c r="I533" s="27">
        <f>(F533+G533+H533)*$I$3</f>
        <v>0</v>
      </c>
      <c r="J533" s="28">
        <f>ROUND(SUM(F533:I533),2)</f>
        <v>0</v>
      </c>
      <c r="K533" s="29">
        <f>ROUND(J533*E533,2)</f>
        <v>0</v>
      </c>
      <c r="L533" s="96"/>
      <c r="M533" s="86">
        <v>1</v>
      </c>
    </row>
    <row r="534" s="86" customFormat="1" ht="36" outlineLevel="2" spans="1:15">
      <c r="A534" s="103">
        <f>1+N(A533)</f>
        <v>4</v>
      </c>
      <c r="B534" s="98" t="s">
        <v>296</v>
      </c>
      <c r="C534" s="99" t="s">
        <v>297</v>
      </c>
      <c r="D534" s="100" t="s">
        <v>58</v>
      </c>
      <c r="E534" s="101">
        <f>10.79*3.4</f>
        <v>36.686</v>
      </c>
      <c r="F534" s="101"/>
      <c r="G534" s="101"/>
      <c r="H534" s="101"/>
      <c r="I534" s="27">
        <f>(F534+G534+H534)*$I$3</f>
        <v>0</v>
      </c>
      <c r="J534" s="28">
        <f>ROUND(SUM(F534:I534),2)</f>
        <v>0</v>
      </c>
      <c r="K534" s="29">
        <f>ROUND(J534*E534,2)</f>
        <v>0</v>
      </c>
      <c r="L534" s="96"/>
      <c r="M534" s="86">
        <v>1</v>
      </c>
    </row>
    <row r="535" s="86" customFormat="1" ht="48" outlineLevel="2" spans="1:15">
      <c r="A535" s="103">
        <f>1+N(A534)</f>
        <v>5</v>
      </c>
      <c r="B535" s="98" t="s">
        <v>298</v>
      </c>
      <c r="C535" s="99" t="s">
        <v>299</v>
      </c>
      <c r="D535" s="100" t="s">
        <v>58</v>
      </c>
      <c r="E535" s="101">
        <f>2*0.4*1.07</f>
        <v>0.856</v>
      </c>
      <c r="F535" s="101"/>
      <c r="G535" s="101"/>
      <c r="H535" s="101"/>
      <c r="I535" s="27">
        <f>(F535+G535+H535)*$I$3</f>
        <v>0</v>
      </c>
      <c r="J535" s="28">
        <f>ROUND(SUM(F535:I535),2)</f>
        <v>0</v>
      </c>
      <c r="K535" s="29">
        <f>ROUND(J535*E535,2)</f>
        <v>0</v>
      </c>
      <c r="L535" s="96"/>
      <c r="M535" s="86">
        <v>1</v>
      </c>
    </row>
    <row r="536" s="86" customFormat="1" ht="24" customHeight="1" outlineLevel="1" spans="1:15">
      <c r="A536" s="92" t="s">
        <v>134</v>
      </c>
      <c r="B536" s="93" t="s">
        <v>300</v>
      </c>
      <c r="C536" s="119"/>
      <c r="D536" s="94"/>
      <c r="E536" s="95"/>
      <c r="F536" s="95"/>
      <c r="G536" s="95"/>
      <c r="H536" s="95"/>
      <c r="I536" s="95"/>
      <c r="J536" s="95"/>
      <c r="K536" s="23"/>
      <c r="L536" s="96"/>
      <c r="O536" s="86" t="str">
        <f>_xlfn.DISPIMG("ID_D24ED736F8CA423690822537BB5D3C3E",1)</f>
        <v>=DISPIMG("ID_D24ED736F8CA423690822537BB5D3C3E",1)</v>
      </c>
    </row>
    <row r="537" s="86" customFormat="1" ht="24" customHeight="1" outlineLevel="1" spans="1:15">
      <c r="A537" s="97"/>
      <c r="B537" s="98" t="s">
        <v>55</v>
      </c>
      <c r="C537" s="99"/>
      <c r="D537" s="100"/>
      <c r="E537" s="101"/>
      <c r="F537" s="101"/>
      <c r="G537" s="101"/>
      <c r="H537" s="101"/>
      <c r="I537" s="101"/>
      <c r="J537" s="101"/>
      <c r="K537" s="102"/>
      <c r="L537" s="96"/>
    </row>
    <row r="538" s="86" customFormat="1" ht="108" outlineLevel="2" spans="1:15">
      <c r="A538" s="103">
        <f>1+N(A537)</f>
        <v>1</v>
      </c>
      <c r="B538" s="98" t="s">
        <v>56</v>
      </c>
      <c r="C538" s="99" t="s">
        <v>248</v>
      </c>
      <c r="D538" s="100" t="s">
        <v>58</v>
      </c>
      <c r="E538" s="101">
        <v>252.64</v>
      </c>
      <c r="F538" s="101"/>
      <c r="G538" s="101"/>
      <c r="H538" s="27"/>
      <c r="I538" s="27">
        <f>(F538+G538+H538)*$I$3</f>
        <v>0</v>
      </c>
      <c r="J538" s="28">
        <f>ROUND(SUM(F538:I538),2)</f>
        <v>0</v>
      </c>
      <c r="K538" s="29">
        <f>ROUND(J538*E538,2)</f>
        <v>0</v>
      </c>
      <c r="L538" s="96"/>
      <c r="M538" s="86">
        <v>1</v>
      </c>
    </row>
    <row r="539" s="86" customFormat="1" ht="60" outlineLevel="2" spans="1:15">
      <c r="A539" s="103">
        <f>1+N(A538)</f>
        <v>2</v>
      </c>
      <c r="B539" s="98" t="s">
        <v>163</v>
      </c>
      <c r="C539" s="99" t="s">
        <v>301</v>
      </c>
      <c r="D539" s="100" t="s">
        <v>58</v>
      </c>
      <c r="E539" s="101">
        <v>10.84</v>
      </c>
      <c r="F539" s="101"/>
      <c r="G539" s="101"/>
      <c r="H539" s="101"/>
      <c r="I539" s="27">
        <f>(F539+G539+H539)*$I$3</f>
        <v>0</v>
      </c>
      <c r="J539" s="28">
        <f>ROUND(SUM(F539:I539),2)</f>
        <v>0</v>
      </c>
      <c r="K539" s="29">
        <f>ROUND(J539*E539,2)</f>
        <v>0</v>
      </c>
      <c r="L539" s="96"/>
      <c r="M539" s="86">
        <v>1</v>
      </c>
    </row>
    <row r="540" s="86" customFormat="1" ht="36" outlineLevel="2" spans="1:15">
      <c r="A540" s="103">
        <f>1+N(A539)</f>
        <v>3</v>
      </c>
      <c r="B540" s="98" t="s">
        <v>63</v>
      </c>
      <c r="C540" s="99" t="s">
        <v>64</v>
      </c>
      <c r="D540" s="100" t="s">
        <v>65</v>
      </c>
      <c r="E540" s="101">
        <v>11.88</v>
      </c>
      <c r="F540" s="101"/>
      <c r="G540" s="101"/>
      <c r="H540" s="101"/>
      <c r="I540" s="27">
        <f>(F540+G540+H540)*$I$3</f>
        <v>0</v>
      </c>
      <c r="J540" s="28">
        <f>ROUND(SUM(F540:I540),2)</f>
        <v>0</v>
      </c>
      <c r="K540" s="29">
        <f>ROUND(J540*E540,2)</f>
        <v>0</v>
      </c>
      <c r="L540" s="96"/>
      <c r="M540" s="86">
        <v>1</v>
      </c>
    </row>
    <row r="541" s="86" customFormat="1" ht="48" outlineLevel="2" spans="1:15">
      <c r="A541" s="103">
        <f>1+N(A540)</f>
        <v>4</v>
      </c>
      <c r="B541" s="98" t="s">
        <v>66</v>
      </c>
      <c r="C541" s="99" t="s">
        <v>67</v>
      </c>
      <c r="D541" s="100" t="s">
        <v>58</v>
      </c>
      <c r="E541" s="101">
        <v>252.64</v>
      </c>
      <c r="F541" s="101"/>
      <c r="G541" s="101"/>
      <c r="H541" s="101"/>
      <c r="I541" s="27">
        <f>(F541+G541+H541)*$I$3</f>
        <v>0</v>
      </c>
      <c r="J541" s="28">
        <f>ROUND(SUM(F541:I541),2)</f>
        <v>0</v>
      </c>
      <c r="K541" s="29">
        <f>ROUND(J541*E541,2)</f>
        <v>0</v>
      </c>
      <c r="L541" s="96"/>
      <c r="M541" s="86">
        <v>1</v>
      </c>
    </row>
    <row r="542" s="86" customFormat="1" ht="24" customHeight="1" outlineLevel="1" spans="1:15">
      <c r="A542" s="97"/>
      <c r="B542" s="98" t="s">
        <v>68</v>
      </c>
      <c r="C542" s="99"/>
      <c r="D542" s="100"/>
      <c r="E542" s="101"/>
      <c r="F542" s="101"/>
      <c r="G542" s="101"/>
      <c r="H542" s="101"/>
      <c r="I542" s="101"/>
      <c r="J542" s="101"/>
      <c r="K542" s="102"/>
      <c r="L542" s="96"/>
    </row>
    <row r="543" s="86" customFormat="1" ht="96" outlineLevel="2" spans="1:15">
      <c r="A543" s="103">
        <f t="shared" ref="A543:A553" si="92">1+N(A542)</f>
        <v>1</v>
      </c>
      <c r="B543" s="104" t="s">
        <v>71</v>
      </c>
      <c r="C543" s="99" t="s">
        <v>253</v>
      </c>
      <c r="D543" s="100" t="s">
        <v>58</v>
      </c>
      <c r="E543" s="101">
        <f>144.989+144.989</f>
        <v>289.978</v>
      </c>
      <c r="F543" s="101"/>
      <c r="G543" s="101"/>
      <c r="H543" s="101"/>
      <c r="I543" s="27">
        <f t="shared" ref="I543:I553" si="93">(F543+G543+H543)*$I$3</f>
        <v>0</v>
      </c>
      <c r="J543" s="28">
        <f t="shared" ref="J543:J553" si="94">ROUND(SUM(F543:I543),2)</f>
        <v>0</v>
      </c>
      <c r="K543" s="29">
        <f t="shared" ref="K543:K553" si="95">ROUND(J543*E543,2)</f>
        <v>0</v>
      </c>
      <c r="L543" s="96"/>
      <c r="M543" s="86">
        <v>1</v>
      </c>
    </row>
    <row r="544" s="86" customFormat="1" ht="96" outlineLevel="2" spans="1:15">
      <c r="A544" s="103">
        <f t="shared" si="92"/>
        <v>2</v>
      </c>
      <c r="B544" s="98" t="s">
        <v>73</v>
      </c>
      <c r="C544" s="99" t="s">
        <v>254</v>
      </c>
      <c r="D544" s="100" t="s">
        <v>58</v>
      </c>
      <c r="E544" s="101">
        <v>40.781</v>
      </c>
      <c r="F544" s="101"/>
      <c r="G544" s="101"/>
      <c r="H544" s="101"/>
      <c r="I544" s="27">
        <f t="shared" si="93"/>
        <v>0</v>
      </c>
      <c r="J544" s="28">
        <f t="shared" si="94"/>
        <v>0</v>
      </c>
      <c r="K544" s="29">
        <f t="shared" si="95"/>
        <v>0</v>
      </c>
      <c r="L544" s="96"/>
      <c r="M544" s="86">
        <v>1</v>
      </c>
    </row>
    <row r="545" s="86" customFormat="1" ht="60" outlineLevel="2" spans="1:13">
      <c r="A545" s="103">
        <f t="shared" si="92"/>
        <v>3</v>
      </c>
      <c r="B545" s="98" t="s">
        <v>302</v>
      </c>
      <c r="C545" s="99" t="s">
        <v>303</v>
      </c>
      <c r="D545" s="100" t="s">
        <v>58</v>
      </c>
      <c r="E545" s="101">
        <v>18.757</v>
      </c>
      <c r="F545" s="101"/>
      <c r="G545" s="101"/>
      <c r="H545" s="101"/>
      <c r="I545" s="27">
        <f t="shared" si="93"/>
        <v>0</v>
      </c>
      <c r="J545" s="28">
        <f t="shared" si="94"/>
        <v>0</v>
      </c>
      <c r="K545" s="29">
        <f t="shared" si="95"/>
        <v>0</v>
      </c>
      <c r="L545" s="96"/>
      <c r="M545" s="86">
        <v>1</v>
      </c>
    </row>
    <row r="546" s="86" customFormat="1" ht="60" outlineLevel="2" spans="1:13">
      <c r="A546" s="103">
        <f t="shared" si="92"/>
        <v>4</v>
      </c>
      <c r="B546" s="98" t="s">
        <v>255</v>
      </c>
      <c r="C546" s="99" t="s">
        <v>256</v>
      </c>
      <c r="D546" s="100" t="s">
        <v>58</v>
      </c>
      <c r="E546" s="101">
        <v>48.7</v>
      </c>
      <c r="F546" s="101"/>
      <c r="G546" s="101"/>
      <c r="H546" s="101"/>
      <c r="I546" s="27">
        <f t="shared" si="93"/>
        <v>0</v>
      </c>
      <c r="J546" s="28">
        <f t="shared" si="94"/>
        <v>0</v>
      </c>
      <c r="K546" s="29">
        <f t="shared" si="95"/>
        <v>0</v>
      </c>
      <c r="L546" s="96"/>
      <c r="M546" s="86">
        <v>1</v>
      </c>
    </row>
    <row r="547" s="86" customFormat="1" ht="72" outlineLevel="2" spans="1:13">
      <c r="A547" s="103">
        <f t="shared" si="92"/>
        <v>5</v>
      </c>
      <c r="B547" s="98" t="s">
        <v>167</v>
      </c>
      <c r="C547" s="99" t="s">
        <v>168</v>
      </c>
      <c r="D547" s="100" t="s">
        <v>58</v>
      </c>
      <c r="E547" s="101">
        <v>68.835</v>
      </c>
      <c r="F547" s="101"/>
      <c r="G547" s="101"/>
      <c r="H547" s="101"/>
      <c r="I547" s="27">
        <f t="shared" si="93"/>
        <v>0</v>
      </c>
      <c r="J547" s="28">
        <f t="shared" si="94"/>
        <v>0</v>
      </c>
      <c r="K547" s="29">
        <f t="shared" si="95"/>
        <v>0</v>
      </c>
      <c r="L547" s="96"/>
      <c r="M547" s="86">
        <v>1</v>
      </c>
    </row>
    <row r="548" s="86" customFormat="1" ht="60" outlineLevel="2" spans="1:13">
      <c r="A548" s="103">
        <f t="shared" si="92"/>
        <v>6</v>
      </c>
      <c r="B548" s="98" t="s">
        <v>169</v>
      </c>
      <c r="C548" s="99" t="s">
        <v>257</v>
      </c>
      <c r="D548" s="100" t="s">
        <v>58</v>
      </c>
      <c r="E548" s="101">
        <v>17.902</v>
      </c>
      <c r="F548" s="101"/>
      <c r="G548" s="101"/>
      <c r="H548" s="101"/>
      <c r="I548" s="27">
        <f t="shared" si="93"/>
        <v>0</v>
      </c>
      <c r="J548" s="28">
        <f t="shared" si="94"/>
        <v>0</v>
      </c>
      <c r="K548" s="29">
        <f t="shared" si="95"/>
        <v>0</v>
      </c>
      <c r="L548" s="96"/>
      <c r="M548" s="86">
        <v>1</v>
      </c>
    </row>
    <row r="549" s="86" customFormat="1" ht="36" outlineLevel="2" spans="1:13">
      <c r="A549" s="103">
        <f t="shared" si="92"/>
        <v>7</v>
      </c>
      <c r="B549" s="98" t="s">
        <v>304</v>
      </c>
      <c r="C549" s="99" t="s">
        <v>305</v>
      </c>
      <c r="D549" s="100" t="s">
        <v>58</v>
      </c>
      <c r="E549" s="101">
        <v>11.736</v>
      </c>
      <c r="F549" s="101"/>
      <c r="G549" s="101"/>
      <c r="H549" s="101"/>
      <c r="I549" s="27">
        <f t="shared" si="93"/>
        <v>0</v>
      </c>
      <c r="J549" s="28">
        <f t="shared" si="94"/>
        <v>0</v>
      </c>
      <c r="K549" s="29">
        <f t="shared" si="95"/>
        <v>0</v>
      </c>
      <c r="L549" s="96"/>
      <c r="M549" s="86">
        <v>1</v>
      </c>
    </row>
    <row r="550" s="86" customFormat="1" ht="48" outlineLevel="2" spans="1:13">
      <c r="A550" s="103">
        <f t="shared" si="92"/>
        <v>8</v>
      </c>
      <c r="B550" s="98" t="s">
        <v>86</v>
      </c>
      <c r="C550" s="99" t="s">
        <v>87</v>
      </c>
      <c r="D550" s="100" t="s">
        <v>65</v>
      </c>
      <c r="E550" s="101">
        <v>126.524</v>
      </c>
      <c r="F550" s="101"/>
      <c r="G550" s="101"/>
      <c r="H550" s="101"/>
      <c r="I550" s="27">
        <f t="shared" si="93"/>
        <v>0</v>
      </c>
      <c r="J550" s="28">
        <f t="shared" si="94"/>
        <v>0</v>
      </c>
      <c r="K550" s="29">
        <f t="shared" si="95"/>
        <v>0</v>
      </c>
      <c r="L550" s="96"/>
      <c r="M550" s="86">
        <v>1</v>
      </c>
    </row>
    <row r="551" s="86" customFormat="1" ht="36" outlineLevel="2" spans="1:13">
      <c r="A551" s="103">
        <f t="shared" si="92"/>
        <v>9</v>
      </c>
      <c r="B551" s="98" t="s">
        <v>306</v>
      </c>
      <c r="C551" s="99" t="s">
        <v>307</v>
      </c>
      <c r="D551" s="100" t="s">
        <v>65</v>
      </c>
      <c r="E551" s="101">
        <v>13.46</v>
      </c>
      <c r="F551" s="101"/>
      <c r="G551" s="101"/>
      <c r="H551" s="101"/>
      <c r="I551" s="27">
        <f t="shared" si="93"/>
        <v>0</v>
      </c>
      <c r="J551" s="28">
        <f t="shared" si="94"/>
        <v>0</v>
      </c>
      <c r="K551" s="29">
        <f t="shared" si="95"/>
        <v>0</v>
      </c>
      <c r="L551" s="96"/>
      <c r="M551" s="86">
        <v>1</v>
      </c>
    </row>
    <row r="552" s="86" customFormat="1" ht="48" outlineLevel="2" spans="1:13">
      <c r="A552" s="103">
        <f t="shared" si="92"/>
        <v>10</v>
      </c>
      <c r="B552" s="98" t="s">
        <v>308</v>
      </c>
      <c r="C552" s="99" t="s">
        <v>309</v>
      </c>
      <c r="D552" s="100" t="s">
        <v>65</v>
      </c>
      <c r="E552" s="101">
        <v>5.57</v>
      </c>
      <c r="F552" s="101"/>
      <c r="G552" s="101"/>
      <c r="H552" s="101"/>
      <c r="I552" s="27">
        <f t="shared" si="93"/>
        <v>0</v>
      </c>
      <c r="J552" s="28">
        <f t="shared" si="94"/>
        <v>0</v>
      </c>
      <c r="K552" s="29">
        <f t="shared" si="95"/>
        <v>0</v>
      </c>
      <c r="L552" s="96"/>
      <c r="M552" s="86">
        <v>1</v>
      </c>
    </row>
    <row r="553" s="86" customFormat="1" ht="36" outlineLevel="2" spans="1:13">
      <c r="A553" s="103">
        <f t="shared" si="92"/>
        <v>11</v>
      </c>
      <c r="B553" s="98" t="s">
        <v>234</v>
      </c>
      <c r="C553" s="99" t="s">
        <v>235</v>
      </c>
      <c r="D553" s="105" t="s">
        <v>58</v>
      </c>
      <c r="E553" s="101">
        <f>((2+1.95)*2*1.15*2.55*3+2.35*(1.45+2.75)*2)*0.095</f>
        <v>8.47782375</v>
      </c>
      <c r="F553" s="101"/>
      <c r="G553" s="101"/>
      <c r="H553" s="101"/>
      <c r="I553" s="27">
        <f t="shared" si="93"/>
        <v>0</v>
      </c>
      <c r="J553" s="28">
        <f t="shared" si="94"/>
        <v>0</v>
      </c>
      <c r="K553" s="29">
        <f t="shared" si="95"/>
        <v>0</v>
      </c>
      <c r="L553" s="96"/>
      <c r="M553" s="86">
        <v>1</v>
      </c>
    </row>
    <row r="554" s="86" customFormat="1" ht="24" customHeight="1" outlineLevel="1" spans="1:13">
      <c r="A554" s="97"/>
      <c r="B554" s="98" t="s">
        <v>96</v>
      </c>
      <c r="C554" s="99"/>
      <c r="D554" s="100"/>
      <c r="E554" s="101"/>
      <c r="F554" s="101"/>
      <c r="G554" s="101"/>
      <c r="H554" s="101"/>
      <c r="I554" s="101"/>
      <c r="J554" s="101"/>
      <c r="K554" s="102"/>
      <c r="L554" s="96"/>
    </row>
    <row r="555" s="86" customFormat="1" ht="96" outlineLevel="2" spans="1:13">
      <c r="A555" s="103">
        <f t="shared" ref="A555:A563" si="96">1+N(A554)</f>
        <v>1</v>
      </c>
      <c r="B555" s="98" t="s">
        <v>97</v>
      </c>
      <c r="C555" s="108" t="s">
        <v>98</v>
      </c>
      <c r="D555" s="100" t="s">
        <v>58</v>
      </c>
      <c r="E555" s="101">
        <f>263.48-62.59-15</f>
        <v>185.89</v>
      </c>
      <c r="F555" s="101"/>
      <c r="G555" s="101"/>
      <c r="H555" s="101"/>
      <c r="I555" s="27">
        <f t="shared" ref="I555:I563" si="97">(F555+G555+H555)*$I$3</f>
        <v>0</v>
      </c>
      <c r="J555" s="28">
        <f t="shared" ref="J555:J563" si="98">ROUND(SUM(F555:I555),2)</f>
        <v>0</v>
      </c>
      <c r="K555" s="29">
        <f t="shared" ref="K555:K563" si="99">ROUND(J555*E555,2)</f>
        <v>0</v>
      </c>
      <c r="L555" s="96"/>
      <c r="M555" s="86">
        <v>1</v>
      </c>
    </row>
    <row r="556" s="86" customFormat="1" ht="96" outlineLevel="2" spans="1:13">
      <c r="A556" s="103">
        <f t="shared" si="96"/>
        <v>2</v>
      </c>
      <c r="B556" s="98" t="s">
        <v>310</v>
      </c>
      <c r="C556" s="108" t="s">
        <v>311</v>
      </c>
      <c r="D556" s="100" t="s">
        <v>58</v>
      </c>
      <c r="E556" s="101">
        <v>62.59</v>
      </c>
      <c r="F556" s="101"/>
      <c r="G556" s="101"/>
      <c r="H556" s="101"/>
      <c r="I556" s="27">
        <f t="shared" si="97"/>
        <v>0</v>
      </c>
      <c r="J556" s="28">
        <f t="shared" si="98"/>
        <v>0</v>
      </c>
      <c r="K556" s="29">
        <f t="shared" si="99"/>
        <v>0</v>
      </c>
      <c r="L556" s="96"/>
      <c r="M556" s="86">
        <v>1</v>
      </c>
    </row>
    <row r="557" s="86" customFormat="1" ht="72" outlineLevel="2" spans="1:13">
      <c r="A557" s="103">
        <f t="shared" si="96"/>
        <v>3</v>
      </c>
      <c r="B557" s="98" t="s">
        <v>261</v>
      </c>
      <c r="C557" s="108" t="s">
        <v>262</v>
      </c>
      <c r="D557" s="100" t="s">
        <v>58</v>
      </c>
      <c r="E557" s="101">
        <v>15</v>
      </c>
      <c r="F557" s="101"/>
      <c r="G557" s="101"/>
      <c r="H557" s="101"/>
      <c r="I557" s="27">
        <f t="shared" si="97"/>
        <v>0</v>
      </c>
      <c r="J557" s="28">
        <f t="shared" si="98"/>
        <v>0</v>
      </c>
      <c r="K557" s="29">
        <f t="shared" si="99"/>
        <v>0</v>
      </c>
      <c r="L557" s="96"/>
      <c r="M557" s="86">
        <v>1</v>
      </c>
    </row>
    <row r="558" s="86" customFormat="1" ht="72" customHeight="1" outlineLevel="2" spans="1:13">
      <c r="A558" s="103">
        <f t="shared" si="96"/>
        <v>4</v>
      </c>
      <c r="B558" s="98" t="s">
        <v>99</v>
      </c>
      <c r="C558" s="99" t="s">
        <v>100</v>
      </c>
      <c r="D558" s="100" t="s">
        <v>65</v>
      </c>
      <c r="E558" s="101">
        <v>52.4</v>
      </c>
      <c r="F558" s="101"/>
      <c r="G558" s="101"/>
      <c r="H558" s="101"/>
      <c r="I558" s="27">
        <f t="shared" si="97"/>
        <v>0</v>
      </c>
      <c r="J558" s="28">
        <f t="shared" si="98"/>
        <v>0</v>
      </c>
      <c r="K558" s="29">
        <f t="shared" si="99"/>
        <v>0</v>
      </c>
      <c r="L558" s="96"/>
      <c r="M558" s="86">
        <v>1</v>
      </c>
    </row>
    <row r="559" s="86" customFormat="1" ht="72" customHeight="1" outlineLevel="2" spans="1:13">
      <c r="A559" s="103">
        <f t="shared" si="96"/>
        <v>5</v>
      </c>
      <c r="B559" s="98" t="s">
        <v>101</v>
      </c>
      <c r="C559" s="99" t="s">
        <v>102</v>
      </c>
      <c r="D559" s="100" t="s">
        <v>65</v>
      </c>
      <c r="E559" s="101">
        <v>52.4</v>
      </c>
      <c r="F559" s="101"/>
      <c r="G559" s="101"/>
      <c r="H559" s="101"/>
      <c r="I559" s="27">
        <f t="shared" si="97"/>
        <v>0</v>
      </c>
      <c r="J559" s="28">
        <f t="shared" si="98"/>
        <v>0</v>
      </c>
      <c r="K559" s="29">
        <f t="shared" si="99"/>
        <v>0</v>
      </c>
      <c r="L559" s="96"/>
      <c r="M559" s="86">
        <v>1</v>
      </c>
    </row>
    <row r="560" s="86" customFormat="1" ht="72" customHeight="1" outlineLevel="2" spans="1:13">
      <c r="A560" s="103">
        <f t="shared" si="96"/>
        <v>6</v>
      </c>
      <c r="B560" s="98" t="s">
        <v>263</v>
      </c>
      <c r="C560" s="99" t="s">
        <v>264</v>
      </c>
      <c r="D560" s="100" t="s">
        <v>65</v>
      </c>
      <c r="E560" s="101">
        <v>17.4</v>
      </c>
      <c r="F560" s="101"/>
      <c r="G560" s="101"/>
      <c r="H560" s="101"/>
      <c r="I560" s="27">
        <f t="shared" si="97"/>
        <v>0</v>
      </c>
      <c r="J560" s="28">
        <f t="shared" si="98"/>
        <v>0</v>
      </c>
      <c r="K560" s="29">
        <f t="shared" si="99"/>
        <v>0</v>
      </c>
      <c r="L560" s="96"/>
      <c r="M560" s="86">
        <v>1</v>
      </c>
    </row>
    <row r="561" s="86" customFormat="1" ht="72" customHeight="1" outlineLevel="2" spans="1:15">
      <c r="A561" s="103">
        <f t="shared" si="96"/>
        <v>7</v>
      </c>
      <c r="B561" s="98" t="s">
        <v>103</v>
      </c>
      <c r="C561" s="99" t="s">
        <v>104</v>
      </c>
      <c r="D561" s="100" t="s">
        <v>65</v>
      </c>
      <c r="E561" s="101">
        <f>1.2*2*4+8.2+4.4+5.95+5.95</f>
        <v>34.1</v>
      </c>
      <c r="F561" s="101"/>
      <c r="G561" s="101"/>
      <c r="H561" s="101"/>
      <c r="I561" s="27">
        <f t="shared" si="97"/>
        <v>0</v>
      </c>
      <c r="J561" s="28">
        <f t="shared" si="98"/>
        <v>0</v>
      </c>
      <c r="K561" s="29">
        <f t="shared" si="99"/>
        <v>0</v>
      </c>
      <c r="L561" s="96"/>
      <c r="M561" s="86">
        <v>1</v>
      </c>
    </row>
    <row r="562" s="86" customFormat="1" ht="72" customHeight="1" outlineLevel="2" spans="1:15">
      <c r="A562" s="103">
        <f t="shared" si="96"/>
        <v>8</v>
      </c>
      <c r="B562" s="98" t="s">
        <v>105</v>
      </c>
      <c r="C562" s="99" t="s">
        <v>106</v>
      </c>
      <c r="D562" s="100" t="s">
        <v>58</v>
      </c>
      <c r="E562" s="101">
        <f>263.48+62.59*0.05+52.4*0.3+17.4*0.4</f>
        <v>289.2895</v>
      </c>
      <c r="F562" s="101"/>
      <c r="G562" s="101"/>
      <c r="H562" s="101"/>
      <c r="I562" s="27">
        <f t="shared" si="97"/>
        <v>0</v>
      </c>
      <c r="J562" s="28">
        <f t="shared" si="98"/>
        <v>0</v>
      </c>
      <c r="K562" s="29">
        <f t="shared" si="99"/>
        <v>0</v>
      </c>
      <c r="L562" s="96"/>
      <c r="M562" s="86">
        <v>1</v>
      </c>
    </row>
    <row r="563" s="86" customFormat="1" ht="72" customHeight="1" outlineLevel="2" spans="1:15">
      <c r="A563" s="103">
        <f t="shared" si="96"/>
        <v>9</v>
      </c>
      <c r="B563" s="98" t="s">
        <v>265</v>
      </c>
      <c r="C563" s="99" t="s">
        <v>266</v>
      </c>
      <c r="D563" s="100" t="s">
        <v>58</v>
      </c>
      <c r="E563" s="101">
        <v>15</v>
      </c>
      <c r="F563" s="101"/>
      <c r="G563" s="101"/>
      <c r="H563" s="101"/>
      <c r="I563" s="27">
        <f t="shared" si="97"/>
        <v>0</v>
      </c>
      <c r="J563" s="28">
        <f t="shared" si="98"/>
        <v>0</v>
      </c>
      <c r="K563" s="29">
        <f t="shared" si="99"/>
        <v>0</v>
      </c>
      <c r="L563" s="96"/>
      <c r="M563" s="86">
        <v>1</v>
      </c>
    </row>
    <row r="564" s="86" customFormat="1" ht="24" customHeight="1" outlineLevel="1" spans="1:15">
      <c r="A564" s="97"/>
      <c r="B564" s="98" t="s">
        <v>107</v>
      </c>
      <c r="C564" s="99"/>
      <c r="D564" s="100"/>
      <c r="E564" s="101"/>
      <c r="F564" s="101"/>
      <c r="G564" s="101"/>
      <c r="H564" s="101"/>
      <c r="I564" s="101"/>
      <c r="J564" s="101"/>
      <c r="K564" s="102"/>
      <c r="L564" s="96"/>
    </row>
    <row r="565" s="86" customFormat="1" ht="36" outlineLevel="2" spans="1:15">
      <c r="A565" s="103">
        <f t="shared" ref="A565:A571" si="100">1+N(A564)</f>
        <v>1</v>
      </c>
      <c r="B565" s="98" t="s">
        <v>121</v>
      </c>
      <c r="C565" s="99" t="s">
        <v>109</v>
      </c>
      <c r="D565" s="100" t="s">
        <v>58</v>
      </c>
      <c r="E565" s="101">
        <f>0.8*3.4</f>
        <v>2.72</v>
      </c>
      <c r="F565" s="101"/>
      <c r="G565" s="101"/>
      <c r="H565" s="101"/>
      <c r="I565" s="27">
        <f t="shared" ref="I565:I571" si="101">(F565+G565+H565)*$I$3</f>
        <v>0</v>
      </c>
      <c r="J565" s="28">
        <f t="shared" ref="J565:J571" si="102">ROUND(SUM(F565:I565),2)</f>
        <v>0</v>
      </c>
      <c r="K565" s="29">
        <f t="shared" ref="K565:K571" si="103">ROUND(J565*E565,2)</f>
        <v>0</v>
      </c>
      <c r="L565" s="96"/>
      <c r="M565" s="86">
        <v>1</v>
      </c>
    </row>
    <row r="566" s="86" customFormat="1" ht="36" outlineLevel="2" spans="1:15">
      <c r="A566" s="103">
        <f t="shared" si="100"/>
        <v>2</v>
      </c>
      <c r="B566" s="98" t="s">
        <v>312</v>
      </c>
      <c r="C566" s="99" t="s">
        <v>109</v>
      </c>
      <c r="D566" s="100" t="s">
        <v>58</v>
      </c>
      <c r="E566" s="101">
        <f>1*3.4</f>
        <v>3.4</v>
      </c>
      <c r="F566" s="101"/>
      <c r="G566" s="101"/>
      <c r="H566" s="101"/>
      <c r="I566" s="27">
        <f t="shared" si="101"/>
        <v>0</v>
      </c>
      <c r="J566" s="28">
        <f t="shared" si="102"/>
        <v>0</v>
      </c>
      <c r="K566" s="29">
        <f t="shared" si="103"/>
        <v>0</v>
      </c>
      <c r="L566" s="96"/>
      <c r="M566" s="86">
        <v>1</v>
      </c>
    </row>
    <row r="567" s="86" customFormat="1" ht="48" outlineLevel="2" spans="1:15">
      <c r="A567" s="103">
        <f t="shared" si="100"/>
        <v>3</v>
      </c>
      <c r="B567" s="98" t="s">
        <v>132</v>
      </c>
      <c r="C567" s="99" t="s">
        <v>133</v>
      </c>
      <c r="D567" s="100" t="s">
        <v>58</v>
      </c>
      <c r="E567" s="101">
        <f>6*0.8*3.2</f>
        <v>15.36</v>
      </c>
      <c r="F567" s="101"/>
      <c r="G567" s="101"/>
      <c r="H567" s="101"/>
      <c r="I567" s="27">
        <f t="shared" si="101"/>
        <v>0</v>
      </c>
      <c r="J567" s="28">
        <f t="shared" si="102"/>
        <v>0</v>
      </c>
      <c r="K567" s="29">
        <f t="shared" si="103"/>
        <v>0</v>
      </c>
      <c r="L567" s="96"/>
      <c r="M567" s="86">
        <v>1</v>
      </c>
    </row>
    <row r="568" s="86" customFormat="1" ht="48" outlineLevel="2" spans="1:15">
      <c r="A568" s="103">
        <f t="shared" si="100"/>
        <v>4</v>
      </c>
      <c r="B568" s="98" t="s">
        <v>267</v>
      </c>
      <c r="C568" s="99" t="s">
        <v>268</v>
      </c>
      <c r="D568" s="100" t="s">
        <v>58</v>
      </c>
      <c r="E568" s="101">
        <f>3*1.81*3.4</f>
        <v>18.462</v>
      </c>
      <c r="F568" s="101"/>
      <c r="G568" s="101"/>
      <c r="H568" s="101"/>
      <c r="I568" s="27">
        <f t="shared" si="101"/>
        <v>0</v>
      </c>
      <c r="J568" s="28">
        <f t="shared" si="102"/>
        <v>0</v>
      </c>
      <c r="K568" s="29">
        <f t="shared" si="103"/>
        <v>0</v>
      </c>
      <c r="L568" s="96"/>
      <c r="M568" s="86">
        <v>1</v>
      </c>
    </row>
    <row r="569" s="86" customFormat="1" ht="72" outlineLevel="2" spans="1:15">
      <c r="A569" s="103">
        <f t="shared" si="100"/>
        <v>5</v>
      </c>
      <c r="B569" s="98" t="s">
        <v>313</v>
      </c>
      <c r="C569" s="99" t="s">
        <v>314</v>
      </c>
      <c r="D569" s="100" t="s">
        <v>151</v>
      </c>
      <c r="E569" s="101">
        <v>1</v>
      </c>
      <c r="F569" s="101"/>
      <c r="G569" s="101"/>
      <c r="H569" s="101"/>
      <c r="I569" s="27">
        <f t="shared" si="101"/>
        <v>0</v>
      </c>
      <c r="J569" s="28">
        <f t="shared" si="102"/>
        <v>0</v>
      </c>
      <c r="K569" s="29">
        <f t="shared" si="103"/>
        <v>0</v>
      </c>
      <c r="L569" s="96"/>
      <c r="M569" s="86">
        <v>1</v>
      </c>
    </row>
    <row r="570" s="86" customFormat="1" ht="60" outlineLevel="2" spans="1:15">
      <c r="A570" s="103">
        <f t="shared" si="100"/>
        <v>6</v>
      </c>
      <c r="B570" s="98" t="s">
        <v>315</v>
      </c>
      <c r="C570" s="99" t="s">
        <v>316</v>
      </c>
      <c r="D570" s="100" t="s">
        <v>58</v>
      </c>
      <c r="E570" s="101">
        <f>4.05*3.4</f>
        <v>13.77</v>
      </c>
      <c r="F570" s="101"/>
      <c r="G570" s="101"/>
      <c r="H570" s="101"/>
      <c r="I570" s="27">
        <f t="shared" si="101"/>
        <v>0</v>
      </c>
      <c r="J570" s="28">
        <f t="shared" si="102"/>
        <v>0</v>
      </c>
      <c r="K570" s="29">
        <f t="shared" si="103"/>
        <v>0</v>
      </c>
      <c r="L570" s="96"/>
      <c r="M570" s="86">
        <v>1</v>
      </c>
    </row>
    <row r="571" s="86" customFormat="1" ht="84" outlineLevel="2" spans="1:15">
      <c r="A571" s="103">
        <f t="shared" si="100"/>
        <v>7</v>
      </c>
      <c r="B571" s="98" t="s">
        <v>317</v>
      </c>
      <c r="C571" s="99" t="s">
        <v>318</v>
      </c>
      <c r="D571" s="100" t="s">
        <v>151</v>
      </c>
      <c r="E571" s="101">
        <v>1</v>
      </c>
      <c r="F571" s="101"/>
      <c r="G571" s="101"/>
      <c r="H571" s="101"/>
      <c r="I571" s="27">
        <f t="shared" si="101"/>
        <v>0</v>
      </c>
      <c r="J571" s="28">
        <f t="shared" si="102"/>
        <v>0</v>
      </c>
      <c r="K571" s="29">
        <f t="shared" si="103"/>
        <v>0</v>
      </c>
      <c r="L571" s="96"/>
      <c r="M571" s="86">
        <v>1</v>
      </c>
    </row>
    <row r="572" s="86" customFormat="1" ht="24" customHeight="1" outlineLevel="1" spans="1:15">
      <c r="A572" s="92" t="s">
        <v>137</v>
      </c>
      <c r="B572" s="93" t="s">
        <v>319</v>
      </c>
      <c r="C572" s="119"/>
      <c r="D572" s="94"/>
      <c r="E572" s="95"/>
      <c r="F572" s="95"/>
      <c r="G572" s="95"/>
      <c r="H572" s="95"/>
      <c r="I572" s="95"/>
      <c r="J572" s="95"/>
      <c r="K572" s="23"/>
      <c r="L572" s="96"/>
      <c r="O572" s="86" t="str">
        <f>_xlfn.DISPIMG("ID_EAC5E79C165D415B932AFE73B780235F",1)</f>
        <v>=DISPIMG("ID_EAC5E79C165D415B932AFE73B780235F",1)</v>
      </c>
    </row>
    <row r="573" s="86" customFormat="1" ht="24" customHeight="1" outlineLevel="1" spans="1:15">
      <c r="A573" s="97"/>
      <c r="B573" s="98" t="s">
        <v>55</v>
      </c>
      <c r="C573" s="99"/>
      <c r="D573" s="100"/>
      <c r="E573" s="101"/>
      <c r="F573" s="101"/>
      <c r="G573" s="101"/>
      <c r="H573" s="101"/>
      <c r="I573" s="101"/>
      <c r="J573" s="101"/>
      <c r="K573" s="102"/>
      <c r="L573" s="96"/>
    </row>
    <row r="574" s="86" customFormat="1" ht="72" outlineLevel="2" spans="1:15">
      <c r="A574" s="103">
        <f>1+N(A573)</f>
        <v>1</v>
      </c>
      <c r="B574" s="98" t="s">
        <v>320</v>
      </c>
      <c r="C574" s="99" t="s">
        <v>321</v>
      </c>
      <c r="D574" s="100" t="s">
        <v>58</v>
      </c>
      <c r="E574" s="101">
        <v>24.35</v>
      </c>
      <c r="F574" s="101"/>
      <c r="G574" s="101"/>
      <c r="H574" s="101"/>
      <c r="I574" s="27">
        <f>(F574+G574+H574)*$I$3</f>
        <v>0</v>
      </c>
      <c r="J574" s="28">
        <f>ROUND(SUM(F574:I574),2)</f>
        <v>0</v>
      </c>
      <c r="K574" s="29">
        <f>ROUND(J574*E574,2)</f>
        <v>0</v>
      </c>
      <c r="L574" s="96"/>
      <c r="M574" s="86">
        <v>1</v>
      </c>
    </row>
    <row r="575" s="86" customFormat="1" ht="60" outlineLevel="2" spans="1:15">
      <c r="A575" s="103">
        <f>1+N(A574)</f>
        <v>2</v>
      </c>
      <c r="B575" s="98" t="s">
        <v>163</v>
      </c>
      <c r="C575" s="99" t="s">
        <v>301</v>
      </c>
      <c r="D575" s="100" t="s">
        <v>58</v>
      </c>
      <c r="E575" s="101">
        <v>24.35</v>
      </c>
      <c r="F575" s="101"/>
      <c r="G575" s="101"/>
      <c r="H575" s="101"/>
      <c r="I575" s="27">
        <f>(F575+G575+H575)*$I$3</f>
        <v>0</v>
      </c>
      <c r="J575" s="28">
        <f>ROUND(SUM(F575:I575),2)</f>
        <v>0</v>
      </c>
      <c r="K575" s="29">
        <f>ROUND(J575*E575,2)</f>
        <v>0</v>
      </c>
      <c r="L575" s="96"/>
      <c r="M575" s="86">
        <v>1</v>
      </c>
    </row>
    <row r="576" s="86" customFormat="1" ht="36" outlineLevel="2" spans="1:15">
      <c r="A576" s="103">
        <f>1+N(A575)</f>
        <v>3</v>
      </c>
      <c r="B576" s="98" t="s">
        <v>63</v>
      </c>
      <c r="C576" s="99" t="s">
        <v>64</v>
      </c>
      <c r="D576" s="100" t="s">
        <v>65</v>
      </c>
      <c r="E576" s="101">
        <v>3.9</v>
      </c>
      <c r="F576" s="101"/>
      <c r="G576" s="101"/>
      <c r="H576" s="101"/>
      <c r="I576" s="27">
        <f>(F576+G576+H576)*$I$3</f>
        <v>0</v>
      </c>
      <c r="J576" s="28">
        <f>ROUND(SUM(F576:I576),2)</f>
        <v>0</v>
      </c>
      <c r="K576" s="29">
        <f>ROUND(J576*E576,2)</f>
        <v>0</v>
      </c>
      <c r="L576" s="96"/>
      <c r="M576" s="86">
        <v>1</v>
      </c>
    </row>
    <row r="577" s="86" customFormat="1" ht="24" customHeight="1" outlineLevel="1" spans="1:15">
      <c r="A577" s="97"/>
      <c r="B577" s="98" t="s">
        <v>68</v>
      </c>
      <c r="C577" s="99"/>
      <c r="D577" s="100"/>
      <c r="E577" s="101"/>
      <c r="F577" s="101"/>
      <c r="G577" s="101"/>
      <c r="H577" s="101"/>
      <c r="I577" s="101"/>
      <c r="J577" s="101"/>
      <c r="K577" s="102"/>
      <c r="L577" s="96"/>
    </row>
    <row r="578" s="86" customFormat="1" ht="60" outlineLevel="2" spans="1:15">
      <c r="A578" s="103">
        <f>1+N(A577)</f>
        <v>1</v>
      </c>
      <c r="B578" s="104" t="s">
        <v>282</v>
      </c>
      <c r="C578" s="99" t="s">
        <v>322</v>
      </c>
      <c r="D578" s="100" t="s">
        <v>58</v>
      </c>
      <c r="E578" s="101">
        <v>12.855</v>
      </c>
      <c r="F578" s="101"/>
      <c r="G578" s="101"/>
      <c r="H578" s="101"/>
      <c r="I578" s="27">
        <f>(F578+G578+H578)*$I$3</f>
        <v>0</v>
      </c>
      <c r="J578" s="28">
        <f>ROUND(SUM(F578:I578),2)</f>
        <v>0</v>
      </c>
      <c r="K578" s="29">
        <f>ROUND(J578*E578,2)</f>
        <v>0</v>
      </c>
      <c r="L578" s="96"/>
      <c r="M578" s="86">
        <v>1</v>
      </c>
    </row>
    <row r="579" s="86" customFormat="1" ht="36" outlineLevel="2" spans="1:15">
      <c r="A579" s="103">
        <f>1+N(A578)</f>
        <v>2</v>
      </c>
      <c r="B579" s="98" t="s">
        <v>323</v>
      </c>
      <c r="C579" s="99" t="s">
        <v>324</v>
      </c>
      <c r="D579" s="100" t="s">
        <v>58</v>
      </c>
      <c r="E579" s="101">
        <v>37.096</v>
      </c>
      <c r="F579" s="101"/>
      <c r="G579" s="101"/>
      <c r="H579" s="101"/>
      <c r="I579" s="27">
        <f>(F579+G579+H579)*$I$3</f>
        <v>0</v>
      </c>
      <c r="J579" s="28">
        <f>ROUND(SUM(F579:I579),2)</f>
        <v>0</v>
      </c>
      <c r="K579" s="29">
        <f>ROUND(J579*E579,2)</f>
        <v>0</v>
      </c>
      <c r="L579" s="96"/>
      <c r="M579" s="86">
        <v>1</v>
      </c>
    </row>
    <row r="580" s="86" customFormat="1" ht="48" outlineLevel="2" spans="1:15">
      <c r="A580" s="103">
        <f>1+N(A579)</f>
        <v>3</v>
      </c>
      <c r="B580" s="98" t="s">
        <v>77</v>
      </c>
      <c r="C580" s="99" t="s">
        <v>78</v>
      </c>
      <c r="D580" s="100" t="s">
        <v>58</v>
      </c>
      <c r="E580" s="101">
        <f>1.12*3.4*2+1.15*3.88</f>
        <v>12.078</v>
      </c>
      <c r="F580" s="101"/>
      <c r="G580" s="101"/>
      <c r="H580" s="101"/>
      <c r="I580" s="27">
        <f>(F580+G580+H580)*$I$3</f>
        <v>0</v>
      </c>
      <c r="J580" s="28">
        <f>ROUND(SUM(F580:I580),2)</f>
        <v>0</v>
      </c>
      <c r="K580" s="29">
        <f>ROUND(J580*E580,2)</f>
        <v>0</v>
      </c>
      <c r="L580" s="96"/>
      <c r="M580" s="86">
        <v>1</v>
      </c>
    </row>
    <row r="581" s="86" customFormat="1" ht="36" outlineLevel="2" spans="1:15">
      <c r="A581" s="103">
        <f>1+N(A580)</f>
        <v>4</v>
      </c>
      <c r="B581" s="98" t="s">
        <v>234</v>
      </c>
      <c r="C581" s="99" t="s">
        <v>235</v>
      </c>
      <c r="D581" s="105" t="s">
        <v>58</v>
      </c>
      <c r="E581" s="101">
        <f>8.06*0.095</f>
        <v>0.7657</v>
      </c>
      <c r="F581" s="101"/>
      <c r="G581" s="101"/>
      <c r="H581" s="101"/>
      <c r="I581" s="27">
        <f>(F581+G581+H581)*$I$3</f>
        <v>0</v>
      </c>
      <c r="J581" s="28">
        <f>ROUND(SUM(F581:I581),2)</f>
        <v>0</v>
      </c>
      <c r="K581" s="29">
        <f>ROUND(J581*E581,2)</f>
        <v>0</v>
      </c>
      <c r="L581" s="96"/>
      <c r="M581" s="86">
        <v>1</v>
      </c>
    </row>
    <row r="582" s="86" customFormat="1" ht="24" customHeight="1" outlineLevel="1" spans="1:15">
      <c r="A582" s="97"/>
      <c r="B582" s="98" t="s">
        <v>96</v>
      </c>
      <c r="C582" s="99"/>
      <c r="D582" s="100"/>
      <c r="E582" s="101"/>
      <c r="F582" s="101"/>
      <c r="G582" s="101"/>
      <c r="H582" s="101"/>
      <c r="I582" s="101"/>
      <c r="J582" s="101"/>
      <c r="K582" s="102"/>
      <c r="L582" s="96"/>
    </row>
    <row r="583" s="86" customFormat="1" ht="96" outlineLevel="2" spans="1:15">
      <c r="A583" s="103">
        <f t="shared" ref="A583:A588" si="104">1+N(A582)</f>
        <v>1</v>
      </c>
      <c r="B583" s="98" t="s">
        <v>97</v>
      </c>
      <c r="C583" s="108" t="s">
        <v>98</v>
      </c>
      <c r="D583" s="100" t="s">
        <v>58</v>
      </c>
      <c r="E583" s="101">
        <v>24.35</v>
      </c>
      <c r="F583" s="101"/>
      <c r="G583" s="101"/>
      <c r="H583" s="101"/>
      <c r="I583" s="27">
        <f t="shared" ref="I583:I588" si="105">(F583+G583+H583)*$I$3</f>
        <v>0</v>
      </c>
      <c r="J583" s="28">
        <f t="shared" ref="J583:J588" si="106">ROUND(SUM(F583:I583),2)</f>
        <v>0</v>
      </c>
      <c r="K583" s="29">
        <f t="shared" ref="K583:K588" si="107">ROUND(J583*E583,2)</f>
        <v>0</v>
      </c>
      <c r="L583" s="96"/>
      <c r="M583" s="86">
        <v>1</v>
      </c>
    </row>
    <row r="584" s="86" customFormat="1" ht="72" customHeight="1" outlineLevel="2" spans="1:15">
      <c r="A584" s="103">
        <f t="shared" si="104"/>
        <v>2</v>
      </c>
      <c r="B584" s="98" t="s">
        <v>99</v>
      </c>
      <c r="C584" s="99" t="s">
        <v>100</v>
      </c>
      <c r="D584" s="100" t="s">
        <v>65</v>
      </c>
      <c r="E584" s="101">
        <v>15.1</v>
      </c>
      <c r="F584" s="101"/>
      <c r="G584" s="101"/>
      <c r="H584" s="101"/>
      <c r="I584" s="27">
        <f t="shared" si="105"/>
        <v>0</v>
      </c>
      <c r="J584" s="28">
        <f t="shared" si="106"/>
        <v>0</v>
      </c>
      <c r="K584" s="29">
        <f t="shared" si="107"/>
        <v>0</v>
      </c>
      <c r="L584" s="96"/>
      <c r="M584" s="86">
        <v>1</v>
      </c>
    </row>
    <row r="585" s="86" customFormat="1" ht="72" customHeight="1" outlineLevel="2" spans="1:15">
      <c r="A585" s="103">
        <f t="shared" si="104"/>
        <v>3</v>
      </c>
      <c r="B585" s="98" t="s">
        <v>101</v>
      </c>
      <c r="C585" s="99" t="s">
        <v>102</v>
      </c>
      <c r="D585" s="100" t="s">
        <v>65</v>
      </c>
      <c r="E585" s="101">
        <v>15.1</v>
      </c>
      <c r="F585" s="101"/>
      <c r="G585" s="101"/>
      <c r="H585" s="101"/>
      <c r="I585" s="27">
        <f t="shared" si="105"/>
        <v>0</v>
      </c>
      <c r="J585" s="28">
        <f t="shared" si="106"/>
        <v>0</v>
      </c>
      <c r="K585" s="29">
        <f t="shared" si="107"/>
        <v>0</v>
      </c>
      <c r="L585" s="96"/>
      <c r="M585" s="86">
        <v>1</v>
      </c>
    </row>
    <row r="586" s="86" customFormat="1" ht="72" customHeight="1" outlineLevel="2" spans="1:15">
      <c r="A586" s="103">
        <f t="shared" si="104"/>
        <v>4</v>
      </c>
      <c r="B586" s="98" t="s">
        <v>263</v>
      </c>
      <c r="C586" s="99" t="s">
        <v>264</v>
      </c>
      <c r="D586" s="100" t="s">
        <v>65</v>
      </c>
      <c r="E586" s="101">
        <v>4.65</v>
      </c>
      <c r="F586" s="101"/>
      <c r="G586" s="101"/>
      <c r="H586" s="101"/>
      <c r="I586" s="27">
        <f t="shared" si="105"/>
        <v>0</v>
      </c>
      <c r="J586" s="28">
        <f t="shared" si="106"/>
        <v>0</v>
      </c>
      <c r="K586" s="29">
        <f t="shared" si="107"/>
        <v>0</v>
      </c>
      <c r="L586" s="96"/>
      <c r="M586" s="86">
        <v>1</v>
      </c>
    </row>
    <row r="587" s="86" customFormat="1" ht="72" customHeight="1" outlineLevel="2" spans="1:15">
      <c r="A587" s="103">
        <f t="shared" si="104"/>
        <v>5</v>
      </c>
      <c r="B587" s="98" t="s">
        <v>103</v>
      </c>
      <c r="C587" s="99" t="s">
        <v>104</v>
      </c>
      <c r="D587" s="100" t="s">
        <v>65</v>
      </c>
      <c r="E587" s="101">
        <f>1.2*2*1</f>
        <v>2.4</v>
      </c>
      <c r="F587" s="101"/>
      <c r="G587" s="101"/>
      <c r="H587" s="101"/>
      <c r="I587" s="27">
        <f t="shared" si="105"/>
        <v>0</v>
      </c>
      <c r="J587" s="28">
        <f t="shared" si="106"/>
        <v>0</v>
      </c>
      <c r="K587" s="29">
        <f t="shared" si="107"/>
        <v>0</v>
      </c>
      <c r="L587" s="96"/>
      <c r="M587" s="86">
        <v>1</v>
      </c>
    </row>
    <row r="588" s="86" customFormat="1" ht="72" customHeight="1" outlineLevel="2" spans="1:15">
      <c r="A588" s="103">
        <f t="shared" si="104"/>
        <v>6</v>
      </c>
      <c r="B588" s="98" t="s">
        <v>105</v>
      </c>
      <c r="C588" s="99" t="s">
        <v>106</v>
      </c>
      <c r="D588" s="100" t="s">
        <v>58</v>
      </c>
      <c r="E588" s="101">
        <f>24.35+15.1*0.3+4.65*0.4</f>
        <v>30.74</v>
      </c>
      <c r="F588" s="101"/>
      <c r="G588" s="101"/>
      <c r="H588" s="101"/>
      <c r="I588" s="27">
        <f t="shared" si="105"/>
        <v>0</v>
      </c>
      <c r="J588" s="28">
        <f t="shared" si="106"/>
        <v>0</v>
      </c>
      <c r="K588" s="29">
        <f t="shared" si="107"/>
        <v>0</v>
      </c>
      <c r="L588" s="96"/>
      <c r="M588" s="86">
        <v>1</v>
      </c>
    </row>
    <row r="589" s="86" customFormat="1" ht="24" customHeight="1" outlineLevel="1" spans="1:15">
      <c r="A589" s="97"/>
      <c r="B589" s="98" t="s">
        <v>107</v>
      </c>
      <c r="C589" s="99"/>
      <c r="D589" s="100"/>
      <c r="E589" s="101"/>
      <c r="F589" s="101"/>
      <c r="G589" s="101"/>
      <c r="H589" s="101"/>
      <c r="I589" s="101"/>
      <c r="J589" s="101"/>
      <c r="K589" s="102"/>
      <c r="L589" s="96"/>
    </row>
    <row r="590" s="86" customFormat="1" ht="60" outlineLevel="2" spans="1:15">
      <c r="A590" s="103">
        <f>1+N(A589)</f>
        <v>1</v>
      </c>
      <c r="B590" s="98" t="s">
        <v>142</v>
      </c>
      <c r="C590" s="99" t="s">
        <v>325</v>
      </c>
      <c r="D590" s="100" t="s">
        <v>58</v>
      </c>
      <c r="E590" s="101">
        <f>3.88*3.375</f>
        <v>13.095</v>
      </c>
      <c r="F590" s="101"/>
      <c r="G590" s="101"/>
      <c r="H590" s="101"/>
      <c r="I590" s="27">
        <f>(F590+G590+H590)*$I$3</f>
        <v>0</v>
      </c>
      <c r="J590" s="28">
        <f>ROUND(SUM(F590:I590),2)</f>
        <v>0</v>
      </c>
      <c r="K590" s="29">
        <f>ROUND(J590*E590,2)</f>
        <v>0</v>
      </c>
      <c r="L590" s="96"/>
      <c r="M590" s="86">
        <v>1</v>
      </c>
    </row>
    <row r="591" s="86" customFormat="1" ht="24" customHeight="1" outlineLevel="1" spans="1:15">
      <c r="A591" s="92" t="s">
        <v>144</v>
      </c>
      <c r="B591" s="93" t="s">
        <v>326</v>
      </c>
      <c r="C591" s="119"/>
      <c r="D591" s="94"/>
      <c r="E591" s="95"/>
      <c r="F591" s="95"/>
      <c r="G591" s="95"/>
      <c r="H591" s="95"/>
      <c r="I591" s="95"/>
      <c r="J591" s="95"/>
      <c r="K591" s="23"/>
      <c r="L591" s="96"/>
      <c r="O591" s="86" t="str">
        <f>_xlfn.DISPIMG("ID_846B6C16BCAD432A8A323076B191DC34",1)</f>
        <v>=DISPIMG("ID_846B6C16BCAD432A8A323076B191DC34",1)</v>
      </c>
    </row>
    <row r="592" s="86" customFormat="1" ht="24" customHeight="1" outlineLevel="1" spans="1:15">
      <c r="A592" s="97"/>
      <c r="B592" s="98" t="s">
        <v>55</v>
      </c>
      <c r="C592" s="99"/>
      <c r="D592" s="100"/>
      <c r="E592" s="101"/>
      <c r="F592" s="101"/>
      <c r="G592" s="101"/>
      <c r="H592" s="101"/>
      <c r="I592" s="101"/>
      <c r="J592" s="101"/>
      <c r="K592" s="102"/>
      <c r="L592" s="96"/>
    </row>
    <row r="593" s="86" customFormat="1" ht="72" outlineLevel="2" spans="1:15">
      <c r="A593" s="103">
        <f>1+N(A592)</f>
        <v>1</v>
      </c>
      <c r="B593" s="98" t="s">
        <v>320</v>
      </c>
      <c r="C593" s="99" t="s">
        <v>327</v>
      </c>
      <c r="D593" s="100" t="s">
        <v>58</v>
      </c>
      <c r="E593" s="101">
        <v>12.95</v>
      </c>
      <c r="F593" s="101"/>
      <c r="G593" s="101"/>
      <c r="H593" s="101"/>
      <c r="I593" s="27">
        <f>(F593+G593+H593)*$I$3</f>
        <v>0</v>
      </c>
      <c r="J593" s="28">
        <f>ROUND(SUM(F593:I593),2)</f>
        <v>0</v>
      </c>
      <c r="K593" s="29">
        <f>ROUND(J593*E593,2)</f>
        <v>0</v>
      </c>
      <c r="L593" s="96"/>
      <c r="M593" s="86">
        <v>1</v>
      </c>
    </row>
    <row r="594" s="86" customFormat="1" ht="60" outlineLevel="2" spans="1:15">
      <c r="A594" s="103">
        <f>1+N(A593)</f>
        <v>2</v>
      </c>
      <c r="B594" s="98" t="s">
        <v>163</v>
      </c>
      <c r="C594" s="99" t="s">
        <v>301</v>
      </c>
      <c r="D594" s="100" t="s">
        <v>58</v>
      </c>
      <c r="E594" s="101">
        <v>12.95</v>
      </c>
      <c r="F594" s="101"/>
      <c r="G594" s="101"/>
      <c r="H594" s="101"/>
      <c r="I594" s="27">
        <f>(F594+G594+H594)*$I$3</f>
        <v>0</v>
      </c>
      <c r="J594" s="28">
        <f>ROUND(SUM(F594:I594),2)</f>
        <v>0</v>
      </c>
      <c r="K594" s="29">
        <f>ROUND(J594*E594,2)</f>
        <v>0</v>
      </c>
      <c r="L594" s="96"/>
      <c r="M594" s="86">
        <v>1</v>
      </c>
    </row>
    <row r="595" s="86" customFormat="1" ht="36" outlineLevel="2" spans="1:15">
      <c r="A595" s="103">
        <f>1+N(A594)</f>
        <v>3</v>
      </c>
      <c r="B595" s="98" t="s">
        <v>63</v>
      </c>
      <c r="C595" s="99" t="s">
        <v>64</v>
      </c>
      <c r="D595" s="100" t="s">
        <v>65</v>
      </c>
      <c r="E595" s="101">
        <v>1.45</v>
      </c>
      <c r="F595" s="101"/>
      <c r="G595" s="101"/>
      <c r="H595" s="101"/>
      <c r="I595" s="27">
        <f>(F595+G595+H595)*$I$3</f>
        <v>0</v>
      </c>
      <c r="J595" s="28">
        <f>ROUND(SUM(F595:I595),2)</f>
        <v>0</v>
      </c>
      <c r="K595" s="29">
        <f>ROUND(J595*E595,2)</f>
        <v>0</v>
      </c>
      <c r="L595" s="96"/>
      <c r="M595" s="86">
        <v>1</v>
      </c>
    </row>
    <row r="596" s="86" customFormat="1" ht="24" customHeight="1" outlineLevel="1" spans="1:15">
      <c r="A596" s="97"/>
      <c r="B596" s="98" t="s">
        <v>68</v>
      </c>
      <c r="C596" s="99"/>
      <c r="D596" s="100"/>
      <c r="E596" s="101"/>
      <c r="F596" s="101"/>
      <c r="G596" s="101"/>
      <c r="H596" s="101"/>
      <c r="I596" s="101"/>
      <c r="J596" s="101"/>
      <c r="K596" s="102"/>
      <c r="L596" s="96"/>
    </row>
    <row r="597" s="86" customFormat="1" ht="96" outlineLevel="2" spans="1:15">
      <c r="A597" s="103">
        <f>1+N(A596)</f>
        <v>1</v>
      </c>
      <c r="B597" s="104" t="s">
        <v>71</v>
      </c>
      <c r="C597" s="99" t="s">
        <v>253</v>
      </c>
      <c r="D597" s="100" t="s">
        <v>58</v>
      </c>
      <c r="E597" s="101">
        <v>29.275</v>
      </c>
      <c r="F597" s="101"/>
      <c r="G597" s="101"/>
      <c r="H597" s="101"/>
      <c r="I597" s="27">
        <f>(F597+G597+H597)*$I$3</f>
        <v>0</v>
      </c>
      <c r="J597" s="28">
        <f>ROUND(SUM(F597:I597),2)</f>
        <v>0</v>
      </c>
      <c r="K597" s="29">
        <f>ROUND(J597*E597,2)</f>
        <v>0</v>
      </c>
      <c r="L597" s="96"/>
      <c r="M597" s="86">
        <v>1</v>
      </c>
    </row>
    <row r="598" s="86" customFormat="1" ht="96" outlineLevel="2" spans="1:15">
      <c r="A598" s="103">
        <f>1+N(A597)</f>
        <v>2</v>
      </c>
      <c r="B598" s="98" t="s">
        <v>73</v>
      </c>
      <c r="C598" s="99" t="s">
        <v>254</v>
      </c>
      <c r="D598" s="100" t="s">
        <v>58</v>
      </c>
      <c r="E598" s="101">
        <v>11.586</v>
      </c>
      <c r="F598" s="101"/>
      <c r="G598" s="101"/>
      <c r="H598" s="101"/>
      <c r="I598" s="27">
        <f>(F598+G598+H598)*$I$3</f>
        <v>0</v>
      </c>
      <c r="J598" s="28">
        <f>ROUND(SUM(F598:I598),2)</f>
        <v>0</v>
      </c>
      <c r="K598" s="29">
        <f>ROUND(J598*E598,2)</f>
        <v>0</v>
      </c>
      <c r="L598" s="96"/>
      <c r="M598" s="86">
        <v>1</v>
      </c>
    </row>
    <row r="599" s="86" customFormat="1" ht="48" outlineLevel="2" spans="1:15">
      <c r="A599" s="103">
        <f>1+N(A598)</f>
        <v>3</v>
      </c>
      <c r="B599" s="98" t="s">
        <v>86</v>
      </c>
      <c r="C599" s="99" t="s">
        <v>87</v>
      </c>
      <c r="D599" s="100" t="s">
        <v>65</v>
      </c>
      <c r="E599" s="101">
        <v>12.179</v>
      </c>
      <c r="F599" s="101"/>
      <c r="G599" s="101"/>
      <c r="H599" s="101"/>
      <c r="I599" s="27">
        <f>(F599+G599+H599)*$I$3</f>
        <v>0</v>
      </c>
      <c r="J599" s="28">
        <f>ROUND(SUM(F599:I599),2)</f>
        <v>0</v>
      </c>
      <c r="K599" s="29">
        <f>ROUND(J599*E599,2)</f>
        <v>0</v>
      </c>
      <c r="L599" s="96"/>
      <c r="M599" s="86">
        <v>1</v>
      </c>
    </row>
    <row r="600" s="86" customFormat="1" ht="24" customHeight="1" outlineLevel="1" spans="1:15">
      <c r="A600" s="97"/>
      <c r="B600" s="98" t="s">
        <v>96</v>
      </c>
      <c r="C600" s="99"/>
      <c r="D600" s="100"/>
      <c r="E600" s="101"/>
      <c r="F600" s="101"/>
      <c r="G600" s="101"/>
      <c r="H600" s="101"/>
      <c r="I600" s="101"/>
      <c r="J600" s="101"/>
      <c r="K600" s="102"/>
      <c r="L600" s="96"/>
    </row>
    <row r="601" s="86" customFormat="1" ht="96" outlineLevel="2" spans="1:15">
      <c r="A601" s="103">
        <f>1+N(A600)</f>
        <v>1</v>
      </c>
      <c r="B601" s="98" t="s">
        <v>97</v>
      </c>
      <c r="C601" s="108" t="s">
        <v>98</v>
      </c>
      <c r="D601" s="100" t="s">
        <v>58</v>
      </c>
      <c r="E601" s="101">
        <f>12.95-4.8</f>
        <v>8.15</v>
      </c>
      <c r="F601" s="101"/>
      <c r="G601" s="101"/>
      <c r="H601" s="101"/>
      <c r="I601" s="27">
        <f>(F601+G601+H601)*$I$3</f>
        <v>0</v>
      </c>
      <c r="J601" s="28">
        <f>ROUND(SUM(F601:I601),2)</f>
        <v>0</v>
      </c>
      <c r="K601" s="29">
        <f>ROUND(J601*E601,2)</f>
        <v>0</v>
      </c>
      <c r="L601" s="96"/>
      <c r="M601" s="86">
        <v>1</v>
      </c>
    </row>
    <row r="602" s="86" customFormat="1" ht="72" outlineLevel="2" spans="1:15">
      <c r="A602" s="103">
        <f>1+N(A601)</f>
        <v>2</v>
      </c>
      <c r="B602" s="98" t="s">
        <v>261</v>
      </c>
      <c r="C602" s="108" t="s">
        <v>262</v>
      </c>
      <c r="D602" s="100" t="s">
        <v>58</v>
      </c>
      <c r="E602" s="101">
        <v>4.8</v>
      </c>
      <c r="F602" s="101"/>
      <c r="G602" s="101"/>
      <c r="H602" s="101"/>
      <c r="I602" s="27">
        <f>(F602+G602+H602)*$I$3</f>
        <v>0</v>
      </c>
      <c r="J602" s="28">
        <f>ROUND(SUM(F602:I602),2)</f>
        <v>0</v>
      </c>
      <c r="K602" s="29">
        <f>ROUND(J602*E602,2)</f>
        <v>0</v>
      </c>
      <c r="L602" s="96"/>
      <c r="M602" s="86">
        <v>1</v>
      </c>
    </row>
    <row r="603" s="86" customFormat="1" ht="72" customHeight="1" outlineLevel="2" spans="1:15">
      <c r="A603" s="103">
        <f>1+N(A602)</f>
        <v>3</v>
      </c>
      <c r="B603" s="98" t="s">
        <v>103</v>
      </c>
      <c r="C603" s="99" t="s">
        <v>104</v>
      </c>
      <c r="D603" s="100" t="s">
        <v>65</v>
      </c>
      <c r="E603" s="101">
        <v>3.9</v>
      </c>
      <c r="F603" s="101"/>
      <c r="G603" s="101"/>
      <c r="H603" s="101"/>
      <c r="I603" s="27">
        <f>(F603+G603+H603)*$I$3</f>
        <v>0</v>
      </c>
      <c r="J603" s="28">
        <f>ROUND(SUM(F603:I603),2)</f>
        <v>0</v>
      </c>
      <c r="K603" s="29">
        <f>ROUND(J603*E603,2)</f>
        <v>0</v>
      </c>
      <c r="L603" s="96"/>
      <c r="M603" s="86">
        <v>1</v>
      </c>
    </row>
    <row r="604" s="86" customFormat="1" ht="72" customHeight="1" outlineLevel="2" spans="1:15">
      <c r="A604" s="103">
        <f>1+N(A603)</f>
        <v>4</v>
      </c>
      <c r="B604" s="98" t="s">
        <v>105</v>
      </c>
      <c r="C604" s="99" t="s">
        <v>106</v>
      </c>
      <c r="D604" s="100" t="s">
        <v>58</v>
      </c>
      <c r="E604" s="101">
        <v>8.15</v>
      </c>
      <c r="F604" s="101"/>
      <c r="G604" s="101"/>
      <c r="H604" s="101"/>
      <c r="I604" s="27">
        <f>(F604+G604+H604)*$I$3</f>
        <v>0</v>
      </c>
      <c r="J604" s="28">
        <f>ROUND(SUM(F604:I604),2)</f>
        <v>0</v>
      </c>
      <c r="K604" s="29">
        <f>ROUND(J604*E604,2)</f>
        <v>0</v>
      </c>
      <c r="L604" s="96"/>
      <c r="M604" s="86">
        <v>1</v>
      </c>
    </row>
    <row r="605" s="86" customFormat="1" ht="72" customHeight="1" outlineLevel="2" spans="1:15">
      <c r="A605" s="103">
        <f>1+N(A604)</f>
        <v>5</v>
      </c>
      <c r="B605" s="98" t="s">
        <v>265</v>
      </c>
      <c r="C605" s="99" t="s">
        <v>266</v>
      </c>
      <c r="D605" s="100" t="s">
        <v>58</v>
      </c>
      <c r="E605" s="101">
        <v>4.8</v>
      </c>
      <c r="F605" s="101"/>
      <c r="G605" s="101"/>
      <c r="H605" s="101"/>
      <c r="I605" s="27">
        <f>(F605+G605+H605)*$I$3</f>
        <v>0</v>
      </c>
      <c r="J605" s="28">
        <f>ROUND(SUM(F605:I605),2)</f>
        <v>0</v>
      </c>
      <c r="K605" s="29">
        <f>ROUND(J605*E605,2)</f>
        <v>0</v>
      </c>
      <c r="L605" s="96"/>
      <c r="M605" s="86">
        <v>1</v>
      </c>
    </row>
    <row r="606" s="86" customFormat="1" ht="24" customHeight="1" outlineLevel="1" spans="1:15">
      <c r="A606" s="97"/>
      <c r="B606" s="98" t="s">
        <v>107</v>
      </c>
      <c r="C606" s="99"/>
      <c r="D606" s="100"/>
      <c r="E606" s="101"/>
      <c r="F606" s="101"/>
      <c r="G606" s="101"/>
      <c r="H606" s="101"/>
      <c r="I606" s="101"/>
      <c r="J606" s="101"/>
      <c r="K606" s="102"/>
      <c r="L606" s="96"/>
    </row>
    <row r="607" s="86" customFormat="1" ht="36" outlineLevel="2" spans="1:15">
      <c r="A607" s="103">
        <f>1+N(A606)</f>
        <v>1</v>
      </c>
      <c r="B607" s="98" t="s">
        <v>121</v>
      </c>
      <c r="C607" s="108" t="s">
        <v>109</v>
      </c>
      <c r="D607" s="100" t="s">
        <v>58</v>
      </c>
      <c r="E607" s="101">
        <f>0.8*3.4</f>
        <v>2.72</v>
      </c>
      <c r="F607" s="101"/>
      <c r="G607" s="101"/>
      <c r="H607" s="101"/>
      <c r="I607" s="27">
        <f>(F607+G607+H607)*$I$3</f>
        <v>0</v>
      </c>
      <c r="J607" s="28">
        <f>ROUND(SUM(F607:I607),2)</f>
        <v>0</v>
      </c>
      <c r="K607" s="29">
        <f>ROUND(J607*E607,2)</f>
        <v>0</v>
      </c>
      <c r="L607" s="96"/>
      <c r="M607" s="86">
        <v>1</v>
      </c>
    </row>
    <row r="608" s="86" customFormat="1" ht="24" customHeight="1" outlineLevel="1" spans="1:15">
      <c r="A608" s="92" t="s">
        <v>152</v>
      </c>
      <c r="B608" s="93" t="s">
        <v>328</v>
      </c>
      <c r="C608" s="119"/>
      <c r="D608" s="94"/>
      <c r="E608" s="95"/>
      <c r="F608" s="95"/>
      <c r="G608" s="95"/>
      <c r="H608" s="95"/>
      <c r="I608" s="95"/>
      <c r="J608" s="95"/>
      <c r="K608" s="23"/>
      <c r="L608" s="96"/>
      <c r="O608" s="86" t="str">
        <f>_xlfn.DISPIMG("ID_313A828CF1F54DA1B047DEC23CEA0284",1)</f>
        <v>=DISPIMG("ID_313A828CF1F54DA1B047DEC23CEA0284",1)</v>
      </c>
    </row>
    <row r="609" s="86" customFormat="1" ht="24" customHeight="1" outlineLevel="1" spans="1:13 16382:16382">
      <c r="A609" s="97"/>
      <c r="B609" s="98" t="s">
        <v>55</v>
      </c>
      <c r="C609" s="99"/>
      <c r="D609" s="100"/>
      <c r="E609" s="101"/>
      <c r="F609" s="101"/>
      <c r="G609" s="101"/>
      <c r="H609" s="101"/>
      <c r="I609" s="101"/>
      <c r="J609" s="101"/>
      <c r="K609" s="102"/>
      <c r="L609" s="96"/>
    </row>
    <row r="610" s="86" customFormat="1" ht="72" outlineLevel="2" spans="1:13 16382:16382">
      <c r="A610" s="103">
        <f>1+N(A609)</f>
        <v>1</v>
      </c>
      <c r="B610" s="98" t="s">
        <v>320</v>
      </c>
      <c r="C610" s="99" t="s">
        <v>321</v>
      </c>
      <c r="D610" s="100" t="s">
        <v>58</v>
      </c>
      <c r="E610" s="101">
        <v>23.89</v>
      </c>
      <c r="F610" s="101"/>
      <c r="G610" s="101"/>
      <c r="H610" s="101"/>
      <c r="I610" s="27">
        <f>(F610+G610+H610)*$I$3</f>
        <v>0</v>
      </c>
      <c r="J610" s="28">
        <f>ROUND(SUM(F610:I610),2)</f>
        <v>0</v>
      </c>
      <c r="K610" s="29">
        <f>ROUND(J610*E610,2)</f>
        <v>0</v>
      </c>
      <c r="L610" s="96"/>
      <c r="M610" s="86">
        <v>1</v>
      </c>
    </row>
    <row r="611" s="86" customFormat="1" ht="60" outlineLevel="2" spans="1:13 16382:16382">
      <c r="A611" s="103">
        <f>1+N(A610)</f>
        <v>2</v>
      </c>
      <c r="B611" s="98" t="s">
        <v>163</v>
      </c>
      <c r="C611" s="99" t="s">
        <v>301</v>
      </c>
      <c r="D611" s="100" t="s">
        <v>58</v>
      </c>
      <c r="E611" s="101">
        <v>23.89</v>
      </c>
      <c r="F611" s="101"/>
      <c r="G611" s="101"/>
      <c r="H611" s="101"/>
      <c r="I611" s="27">
        <f>(F611+G611+H611)*$I$3</f>
        <v>0</v>
      </c>
      <c r="J611" s="28">
        <f>ROUND(SUM(F611:I611),2)</f>
        <v>0</v>
      </c>
      <c r="K611" s="29">
        <f>ROUND(J611*E611,2)</f>
        <v>0</v>
      </c>
      <c r="L611" s="96"/>
      <c r="M611" s="86">
        <v>1</v>
      </c>
    </row>
    <row r="612" s="86" customFormat="1" ht="96" outlineLevel="2" spans="1:13 16382:16382">
      <c r="A612" s="103">
        <f>1+N(A611)</f>
        <v>3</v>
      </c>
      <c r="B612" s="98" t="s">
        <v>56</v>
      </c>
      <c r="C612" s="99" t="s">
        <v>57</v>
      </c>
      <c r="D612" s="100" t="s">
        <v>58</v>
      </c>
      <c r="E612" s="101">
        <v>0.3</v>
      </c>
      <c r="F612" s="101"/>
      <c r="G612" s="101"/>
      <c r="H612" s="27"/>
      <c r="I612" s="27">
        <f>(F612+G612+H612)*$I$3</f>
        <v>0</v>
      </c>
      <c r="J612" s="28">
        <f>ROUND(SUM(F612:I612),2)</f>
        <v>0</v>
      </c>
      <c r="K612" s="29">
        <f>ROUND(J612*E612,2)</f>
        <v>0</v>
      </c>
      <c r="L612" s="96"/>
      <c r="M612" s="86">
        <v>1</v>
      </c>
    </row>
    <row r="613" s="86" customFormat="1" ht="48" outlineLevel="2" spans="1:13 16382:16382">
      <c r="A613" s="103">
        <f>1+N(A612)</f>
        <v>4</v>
      </c>
      <c r="B613" s="98" t="s">
        <v>66</v>
      </c>
      <c r="C613" s="99" t="s">
        <v>67</v>
      </c>
      <c r="D613" s="100" t="s">
        <v>58</v>
      </c>
      <c r="E613" s="101">
        <v>0.3</v>
      </c>
      <c r="F613" s="101"/>
      <c r="G613" s="101"/>
      <c r="H613" s="101"/>
      <c r="I613" s="27">
        <f>(F613+G613+H613)*$I$3</f>
        <v>0</v>
      </c>
      <c r="J613" s="28">
        <f>ROUND(SUM(F613:I613),2)</f>
        <v>0</v>
      </c>
      <c r="K613" s="29">
        <f>ROUND(J613*E613,2)</f>
        <v>0</v>
      </c>
      <c r="L613" s="96"/>
      <c r="M613" s="86">
        <v>1</v>
      </c>
    </row>
    <row r="614" s="86" customFormat="1" ht="36" outlineLevel="2" spans="1:13 16382:16382">
      <c r="A614" s="103">
        <f>1+N(A613)</f>
        <v>5</v>
      </c>
      <c r="B614" s="98" t="s">
        <v>63</v>
      </c>
      <c r="C614" s="99" t="s">
        <v>64</v>
      </c>
      <c r="D614" s="100" t="s">
        <v>65</v>
      </c>
      <c r="E614" s="101">
        <f>0.98*2</f>
        <v>1.96</v>
      </c>
      <c r="F614" s="101"/>
      <c r="G614" s="101"/>
      <c r="H614" s="101"/>
      <c r="I614" s="27">
        <f>(F614+G614+H614)*$I$3</f>
        <v>0</v>
      </c>
      <c r="J614" s="28">
        <f>ROUND(SUM(F614:I614),2)</f>
        <v>0</v>
      </c>
      <c r="K614" s="29">
        <f>ROUND(J614*E614,2)</f>
        <v>0</v>
      </c>
      <c r="L614" s="96"/>
      <c r="M614" s="86">
        <v>1</v>
      </c>
    </row>
    <row r="615" s="86" customFormat="1" ht="24" customHeight="1" outlineLevel="1" spans="1:13 16382:16382">
      <c r="A615" s="97"/>
      <c r="B615" s="98" t="s">
        <v>68</v>
      </c>
      <c r="C615" s="99"/>
      <c r="D615" s="100"/>
      <c r="E615" s="101"/>
      <c r="F615" s="101"/>
      <c r="G615" s="101"/>
      <c r="H615" s="101"/>
      <c r="I615" s="101"/>
      <c r="J615" s="101"/>
      <c r="K615" s="102"/>
      <c r="L615" s="96"/>
    </row>
    <row r="616" s="86" customFormat="1" ht="36" outlineLevel="2" spans="1:13 16382:16382">
      <c r="A616" s="103">
        <f>1+N(A615)</f>
        <v>1</v>
      </c>
      <c r="B616" s="104" t="s">
        <v>329</v>
      </c>
      <c r="C616" s="99" t="s">
        <v>330</v>
      </c>
      <c r="D616" s="100" t="s">
        <v>58</v>
      </c>
      <c r="E616" s="101">
        <v>59.143</v>
      </c>
      <c r="F616" s="101"/>
      <c r="G616" s="101"/>
      <c r="H616" s="101"/>
      <c r="I616" s="27">
        <f>(F616+G616+H616)*$I$3</f>
        <v>0</v>
      </c>
      <c r="J616" s="28">
        <f>ROUND(SUM(F616:I616),2)</f>
        <v>0</v>
      </c>
      <c r="K616" s="29">
        <f>ROUND(J616*E616,2)</f>
        <v>0</v>
      </c>
      <c r="L616" s="96"/>
      <c r="M616" s="86">
        <v>1</v>
      </c>
    </row>
    <row r="617" s="86" customFormat="1" ht="48" outlineLevel="2" spans="1:13 16382:16382">
      <c r="A617" s="103">
        <f>1+N(A616)</f>
        <v>2</v>
      </c>
      <c r="B617" s="104" t="s">
        <v>86</v>
      </c>
      <c r="C617" s="99" t="s">
        <v>87</v>
      </c>
      <c r="D617" s="100" t="s">
        <v>65</v>
      </c>
      <c r="E617" s="101">
        <v>20.06</v>
      </c>
      <c r="F617" s="101"/>
      <c r="G617" s="101"/>
      <c r="H617" s="101"/>
      <c r="I617" s="27">
        <f>(F617+G617+H617)*$I$3</f>
        <v>0</v>
      </c>
      <c r="J617" s="28">
        <f>ROUND(SUM(F617:I617),2)</f>
        <v>0</v>
      </c>
      <c r="K617" s="29">
        <f>ROUND(J617*E617,2)</f>
        <v>0</v>
      </c>
      <c r="L617" s="96"/>
      <c r="M617" s="86">
        <v>1</v>
      </c>
    </row>
    <row r="618" s="86" customFormat="1" ht="36" outlineLevel="2" spans="1:13 16382:16382">
      <c r="A618" s="103">
        <f>1+N(A617)</f>
        <v>3</v>
      </c>
      <c r="B618" s="98" t="s">
        <v>234</v>
      </c>
      <c r="C618" s="99" t="s">
        <v>235</v>
      </c>
      <c r="D618" s="105" t="s">
        <v>58</v>
      </c>
      <c r="E618" s="101">
        <f>(8.13+8.03)*0.095</f>
        <v>1.5352</v>
      </c>
      <c r="F618" s="101"/>
      <c r="G618" s="101"/>
      <c r="H618" s="101"/>
      <c r="I618" s="27">
        <f>(F618+G618+H618)*$I$3</f>
        <v>0</v>
      </c>
      <c r="J618" s="28">
        <f>ROUND(SUM(F618:I618),2)</f>
        <v>0</v>
      </c>
      <c r="K618" s="29">
        <f>ROUND(J618*E618,2)</f>
        <v>0</v>
      </c>
      <c r="L618" s="96"/>
      <c r="M618" s="86">
        <v>1</v>
      </c>
    </row>
    <row r="619" s="86" customFormat="1" ht="24" customHeight="1" outlineLevel="1" spans="1:13 16382:16382">
      <c r="A619" s="97"/>
      <c r="B619" s="98" t="s">
        <v>96</v>
      </c>
      <c r="C619" s="99"/>
      <c r="D619" s="100"/>
      <c r="E619" s="101"/>
      <c r="F619" s="101"/>
      <c r="G619" s="101"/>
      <c r="H619" s="101"/>
      <c r="I619" s="101"/>
      <c r="J619" s="101"/>
      <c r="K619" s="102"/>
      <c r="L619" s="96"/>
      <c r="XFB619" s="97"/>
    </row>
    <row r="620" s="86" customFormat="1" ht="96" outlineLevel="2" spans="1:13 16382:16382">
      <c r="A620" s="103">
        <f t="shared" ref="A620:A625" si="108">1+N(A619)</f>
        <v>1</v>
      </c>
      <c r="B620" s="98" t="s">
        <v>97</v>
      </c>
      <c r="C620" s="108" t="s">
        <v>98</v>
      </c>
      <c r="D620" s="100" t="s">
        <v>58</v>
      </c>
      <c r="E620" s="101">
        <v>23.89</v>
      </c>
      <c r="F620" s="101"/>
      <c r="G620" s="101"/>
      <c r="H620" s="101"/>
      <c r="I620" s="27">
        <f t="shared" ref="I620:I625" si="109">(F620+G620+H620)*$I$3</f>
        <v>0</v>
      </c>
      <c r="J620" s="28">
        <f t="shared" ref="J620:J625" si="110">ROUND(SUM(F620:I620),2)</f>
        <v>0</v>
      </c>
      <c r="K620" s="29">
        <f t="shared" ref="K620:K625" si="111">ROUND(J620*E620,2)</f>
        <v>0</v>
      </c>
      <c r="L620" s="96"/>
      <c r="M620" s="86">
        <v>1</v>
      </c>
    </row>
    <row r="621" s="86" customFormat="1" ht="48" outlineLevel="2" spans="1:13 16382:16382">
      <c r="A621" s="103">
        <f t="shared" si="108"/>
        <v>2</v>
      </c>
      <c r="B621" s="98" t="s">
        <v>99</v>
      </c>
      <c r="C621" s="99" t="s">
        <v>100</v>
      </c>
      <c r="D621" s="100" t="s">
        <v>65</v>
      </c>
      <c r="E621" s="101">
        <v>11.5</v>
      </c>
      <c r="F621" s="101"/>
      <c r="G621" s="101"/>
      <c r="H621" s="101"/>
      <c r="I621" s="27">
        <f t="shared" si="109"/>
        <v>0</v>
      </c>
      <c r="J621" s="28">
        <f t="shared" si="110"/>
        <v>0</v>
      </c>
      <c r="K621" s="29">
        <f t="shared" si="111"/>
        <v>0</v>
      </c>
      <c r="L621" s="96"/>
      <c r="M621" s="86">
        <v>1</v>
      </c>
    </row>
    <row r="622" s="86" customFormat="1" ht="48" outlineLevel="2" spans="1:13 16382:16382">
      <c r="A622" s="103">
        <f t="shared" si="108"/>
        <v>3</v>
      </c>
      <c r="B622" s="98" t="s">
        <v>101</v>
      </c>
      <c r="C622" s="99" t="s">
        <v>102</v>
      </c>
      <c r="D622" s="100" t="s">
        <v>65</v>
      </c>
      <c r="E622" s="101">
        <v>11.5</v>
      </c>
      <c r="F622" s="101"/>
      <c r="G622" s="101"/>
      <c r="H622" s="101"/>
      <c r="I622" s="27">
        <f t="shared" si="109"/>
        <v>0</v>
      </c>
      <c r="J622" s="28">
        <f t="shared" si="110"/>
        <v>0</v>
      </c>
      <c r="K622" s="29">
        <f t="shared" si="111"/>
        <v>0</v>
      </c>
      <c r="L622" s="96"/>
      <c r="M622" s="86">
        <v>1</v>
      </c>
    </row>
    <row r="623" s="86" customFormat="1" ht="60" outlineLevel="2" spans="1:13 16382:16382">
      <c r="A623" s="103">
        <f t="shared" si="108"/>
        <v>4</v>
      </c>
      <c r="B623" s="98" t="s">
        <v>263</v>
      </c>
      <c r="C623" s="99" t="s">
        <v>264</v>
      </c>
      <c r="D623" s="100" t="s">
        <v>65</v>
      </c>
      <c r="E623" s="101">
        <v>7.34</v>
      </c>
      <c r="F623" s="101"/>
      <c r="G623" s="101"/>
      <c r="H623" s="101"/>
      <c r="I623" s="27">
        <f t="shared" si="109"/>
        <v>0</v>
      </c>
      <c r="J623" s="28">
        <f t="shared" si="110"/>
        <v>0</v>
      </c>
      <c r="K623" s="29">
        <f t="shared" si="111"/>
        <v>0</v>
      </c>
      <c r="L623" s="96"/>
      <c r="M623" s="86">
        <v>1</v>
      </c>
    </row>
    <row r="624" s="86" customFormat="1" ht="48" outlineLevel="2" spans="1:13 16382:16382">
      <c r="A624" s="103">
        <f t="shared" si="108"/>
        <v>5</v>
      </c>
      <c r="B624" s="98" t="s">
        <v>103</v>
      </c>
      <c r="C624" s="99" t="s">
        <v>104</v>
      </c>
      <c r="D624" s="100" t="s">
        <v>65</v>
      </c>
      <c r="E624" s="101">
        <f>1.2*2*1</f>
        <v>2.4</v>
      </c>
      <c r="F624" s="101"/>
      <c r="G624" s="101"/>
      <c r="H624" s="101"/>
      <c r="I624" s="27">
        <f t="shared" si="109"/>
        <v>0</v>
      </c>
      <c r="J624" s="28">
        <f t="shared" si="110"/>
        <v>0</v>
      </c>
      <c r="K624" s="29">
        <f t="shared" si="111"/>
        <v>0</v>
      </c>
      <c r="L624" s="96"/>
      <c r="M624" s="86">
        <v>1</v>
      </c>
    </row>
    <row r="625" s="86" customFormat="1" ht="60" outlineLevel="2" spans="1:15 16379:16382">
      <c r="A625" s="103">
        <f t="shared" si="108"/>
        <v>6</v>
      </c>
      <c r="B625" s="98" t="s">
        <v>105</v>
      </c>
      <c r="C625" s="99" t="s">
        <v>106</v>
      </c>
      <c r="D625" s="100" t="s">
        <v>58</v>
      </c>
      <c r="E625" s="101">
        <v>23.89</v>
      </c>
      <c r="F625" s="101"/>
      <c r="G625" s="101"/>
      <c r="H625" s="101"/>
      <c r="I625" s="27">
        <f t="shared" si="109"/>
        <v>0</v>
      </c>
      <c r="J625" s="28">
        <f t="shared" si="110"/>
        <v>0</v>
      </c>
      <c r="K625" s="29">
        <f t="shared" si="111"/>
        <v>0</v>
      </c>
      <c r="L625" s="96"/>
      <c r="M625" s="86">
        <v>1</v>
      </c>
    </row>
    <row r="626" s="86" customFormat="1" ht="24" customHeight="1" outlineLevel="1" spans="1:15 16379:16382">
      <c r="A626" s="97"/>
      <c r="B626" s="98" t="s">
        <v>107</v>
      </c>
      <c r="C626" s="99"/>
      <c r="D626" s="100"/>
      <c r="E626" s="101"/>
      <c r="F626" s="101"/>
      <c r="G626" s="101"/>
      <c r="H626" s="101"/>
      <c r="I626" s="101"/>
      <c r="J626" s="101"/>
      <c r="K626" s="102"/>
      <c r="L626" s="96"/>
      <c r="XFA626" s="97"/>
      <c r="XFB626" s="97"/>
    </row>
    <row r="627" s="86" customFormat="1" ht="60" outlineLevel="2" spans="1:15 16379:16382">
      <c r="A627" s="103">
        <f>1+N(A626)</f>
        <v>1</v>
      </c>
      <c r="B627" s="98" t="s">
        <v>331</v>
      </c>
      <c r="C627" s="99" t="s">
        <v>291</v>
      </c>
      <c r="D627" s="100" t="s">
        <v>58</v>
      </c>
      <c r="E627" s="101">
        <f>1.04*3.4</f>
        <v>3.536</v>
      </c>
      <c r="F627" s="101"/>
      <c r="G627" s="101"/>
      <c r="H627" s="101"/>
      <c r="I627" s="27">
        <f>(F627+G627+H627)*$I$3</f>
        <v>0</v>
      </c>
      <c r="J627" s="28">
        <f>ROUND(SUM(F627:I627),2)</f>
        <v>0</v>
      </c>
      <c r="K627" s="29">
        <f>ROUND(J627*E627,2)</f>
        <v>0</v>
      </c>
      <c r="L627" s="96"/>
      <c r="M627" s="86">
        <v>1</v>
      </c>
    </row>
    <row r="628" s="86" customFormat="1" ht="24" customHeight="1" outlineLevel="1" spans="1:15 16379:16382">
      <c r="A628" s="92" t="s">
        <v>154</v>
      </c>
      <c r="B628" s="93" t="s">
        <v>332</v>
      </c>
      <c r="C628" s="119"/>
      <c r="D628" s="94"/>
      <c r="E628" s="95"/>
      <c r="F628" s="95"/>
      <c r="G628" s="95"/>
      <c r="H628" s="95"/>
      <c r="I628" s="95"/>
      <c r="J628" s="95"/>
      <c r="K628" s="23"/>
      <c r="L628" s="96"/>
      <c r="O628" s="86" t="str">
        <f>_xlfn.DISPIMG("ID_2C8641C191E24476BECB7EF61417BE62",1)</f>
        <v>=DISPIMG("ID_2C8641C191E24476BECB7EF61417BE62",1)</v>
      </c>
      <c r="XFB628" s="92"/>
    </row>
    <row r="629" s="86" customFormat="1" ht="24" customHeight="1" outlineLevel="1" spans="1:15 16379:16382">
      <c r="A629" s="97"/>
      <c r="B629" s="98" t="s">
        <v>55</v>
      </c>
      <c r="C629" s="99"/>
      <c r="D629" s="100"/>
      <c r="E629" s="101"/>
      <c r="F629" s="101"/>
      <c r="G629" s="101"/>
      <c r="H629" s="101"/>
      <c r="I629" s="101"/>
      <c r="J629" s="101"/>
      <c r="K629" s="102"/>
      <c r="L629" s="96"/>
      <c r="XEZ629" s="97"/>
      <c r="XFA629" s="97"/>
      <c r="XFB629" s="97"/>
    </row>
    <row r="630" s="86" customFormat="1" ht="72" outlineLevel="2" spans="1:15 16379:16382">
      <c r="A630" s="103">
        <f>1+N(A629)</f>
        <v>1</v>
      </c>
      <c r="B630" s="98" t="s">
        <v>320</v>
      </c>
      <c r="C630" s="99" t="s">
        <v>321</v>
      </c>
      <c r="D630" s="100" t="s">
        <v>58</v>
      </c>
      <c r="E630" s="101">
        <v>20.76</v>
      </c>
      <c r="F630" s="101"/>
      <c r="G630" s="101"/>
      <c r="H630" s="101"/>
      <c r="I630" s="27">
        <f>(F630+G630+H630)*$I$3</f>
        <v>0</v>
      </c>
      <c r="J630" s="28">
        <f>ROUND(SUM(F630:I630),2)</f>
        <v>0</v>
      </c>
      <c r="K630" s="29">
        <f>ROUND(J630*E630,2)</f>
        <v>0</v>
      </c>
      <c r="L630" s="96"/>
      <c r="M630" s="86">
        <v>1</v>
      </c>
    </row>
    <row r="631" s="86" customFormat="1" ht="60" outlineLevel="2" spans="1:15 16379:16382">
      <c r="A631" s="103">
        <f>1+N(A630)</f>
        <v>2</v>
      </c>
      <c r="B631" s="98" t="s">
        <v>163</v>
      </c>
      <c r="C631" s="99" t="s">
        <v>301</v>
      </c>
      <c r="D631" s="100" t="s">
        <v>58</v>
      </c>
      <c r="E631" s="101">
        <v>20.76</v>
      </c>
      <c r="F631" s="101"/>
      <c r="G631" s="101"/>
      <c r="H631" s="101"/>
      <c r="I631" s="27">
        <f>(F631+G631+H631)*$I$3</f>
        <v>0</v>
      </c>
      <c r="J631" s="28">
        <f>ROUND(SUM(F631:I631),2)</f>
        <v>0</v>
      </c>
      <c r="K631" s="29">
        <f>ROUND(J631*E631,2)</f>
        <v>0</v>
      </c>
      <c r="L631" s="96"/>
      <c r="M631" s="86">
        <v>1</v>
      </c>
    </row>
    <row r="632" s="86" customFormat="1" ht="96" outlineLevel="2" spans="1:15 16379:16382">
      <c r="A632" s="103">
        <f>1+N(A631)</f>
        <v>3</v>
      </c>
      <c r="B632" s="98" t="s">
        <v>56</v>
      </c>
      <c r="C632" s="99" t="s">
        <v>57</v>
      </c>
      <c r="D632" s="100" t="s">
        <v>58</v>
      </c>
      <c r="E632" s="101">
        <v>0.39</v>
      </c>
      <c r="F632" s="101"/>
      <c r="G632" s="101"/>
      <c r="H632" s="27"/>
      <c r="I632" s="27">
        <f>(F632+G632+H632)*$I$3</f>
        <v>0</v>
      </c>
      <c r="J632" s="28">
        <f>ROUND(SUM(F632:I632),2)</f>
        <v>0</v>
      </c>
      <c r="K632" s="29">
        <f>ROUND(J632*E632,2)</f>
        <v>0</v>
      </c>
      <c r="L632" s="96"/>
      <c r="M632" s="86">
        <v>1</v>
      </c>
    </row>
    <row r="633" s="86" customFormat="1" ht="48" outlineLevel="2" spans="1:15 16379:16382">
      <c r="A633" s="103">
        <f>1+N(A632)</f>
        <v>4</v>
      </c>
      <c r="B633" s="98" t="s">
        <v>66</v>
      </c>
      <c r="C633" s="99" t="s">
        <v>67</v>
      </c>
      <c r="D633" s="100" t="s">
        <v>58</v>
      </c>
      <c r="E633" s="101">
        <v>0.39</v>
      </c>
      <c r="F633" s="101"/>
      <c r="G633" s="101"/>
      <c r="H633" s="101"/>
      <c r="I633" s="27">
        <f>(F633+G633+H633)*$I$3</f>
        <v>0</v>
      </c>
      <c r="J633" s="28">
        <f>ROUND(SUM(F633:I633),2)</f>
        <v>0</v>
      </c>
      <c r="K633" s="29">
        <f>ROUND(J633*E633,2)</f>
        <v>0</v>
      </c>
      <c r="L633" s="96"/>
      <c r="M633" s="86">
        <v>1</v>
      </c>
    </row>
    <row r="634" s="86" customFormat="1" ht="36" outlineLevel="2" spans="1:15 16379:16382">
      <c r="A634" s="103">
        <f>1+N(A633)</f>
        <v>5</v>
      </c>
      <c r="B634" s="98" t="s">
        <v>63</v>
      </c>
      <c r="C634" s="99" t="s">
        <v>64</v>
      </c>
      <c r="D634" s="100" t="s">
        <v>65</v>
      </c>
      <c r="E634" s="101">
        <f>0.98*2</f>
        <v>1.96</v>
      </c>
      <c r="F634" s="101"/>
      <c r="G634" s="101"/>
      <c r="H634" s="101"/>
      <c r="I634" s="27">
        <f>(F634+G634+H634)*$I$3</f>
        <v>0</v>
      </c>
      <c r="J634" s="28">
        <f>ROUND(SUM(F634:I634),2)</f>
        <v>0</v>
      </c>
      <c r="K634" s="29">
        <f>ROUND(J634*E634,2)</f>
        <v>0</v>
      </c>
      <c r="L634" s="96"/>
      <c r="M634" s="86">
        <v>1</v>
      </c>
    </row>
    <row r="635" s="86" customFormat="1" ht="24" customHeight="1" outlineLevel="1" spans="1:15 16379:16382">
      <c r="A635" s="97"/>
      <c r="B635" s="98" t="s">
        <v>68</v>
      </c>
      <c r="C635" s="99"/>
      <c r="D635" s="100"/>
      <c r="E635" s="101"/>
      <c r="F635" s="101"/>
      <c r="G635" s="101"/>
      <c r="H635" s="101"/>
      <c r="I635" s="101"/>
      <c r="J635" s="101"/>
      <c r="K635" s="102"/>
      <c r="L635" s="96"/>
      <c r="XEY635" s="97"/>
      <c r="XEZ635" s="97"/>
      <c r="XFA635" s="97"/>
      <c r="XFB635" s="97"/>
    </row>
    <row r="636" s="86" customFormat="1" ht="36" outlineLevel="2" spans="1:15 16379:16382">
      <c r="A636" s="103">
        <f>1+N(A635)</f>
        <v>1</v>
      </c>
      <c r="B636" s="104" t="s">
        <v>329</v>
      </c>
      <c r="C636" s="99" t="s">
        <v>330</v>
      </c>
      <c r="D636" s="100" t="s">
        <v>58</v>
      </c>
      <c r="E636" s="101">
        <v>64.671</v>
      </c>
      <c r="F636" s="101"/>
      <c r="G636" s="101"/>
      <c r="H636" s="101"/>
      <c r="I636" s="27">
        <f>(F636+G636+H636)*$I$3</f>
        <v>0</v>
      </c>
      <c r="J636" s="28">
        <f>ROUND(SUM(F636:I636),2)</f>
        <v>0</v>
      </c>
      <c r="K636" s="29">
        <f>ROUND(J636*E636,2)</f>
        <v>0</v>
      </c>
      <c r="L636" s="96"/>
      <c r="M636" s="86">
        <v>1</v>
      </c>
    </row>
    <row r="637" s="86" customFormat="1" ht="60" customHeight="1" outlineLevel="2" spans="1:15 16379:16382">
      <c r="A637" s="103">
        <f>1+N(A636)</f>
        <v>2</v>
      </c>
      <c r="B637" s="98" t="s">
        <v>77</v>
      </c>
      <c r="C637" s="99" t="s">
        <v>78</v>
      </c>
      <c r="D637" s="100" t="s">
        <v>58</v>
      </c>
      <c r="E637" s="101">
        <f>0.522*3.4*2+0.71*0.95</f>
        <v>4.2241</v>
      </c>
      <c r="F637" s="101"/>
      <c r="G637" s="101"/>
      <c r="H637" s="101"/>
      <c r="I637" s="27">
        <f>(F637+G637+H637)*$I$3</f>
        <v>0</v>
      </c>
      <c r="J637" s="28">
        <f>ROUND(SUM(F637:I637),2)</f>
        <v>0</v>
      </c>
      <c r="K637" s="29">
        <f>ROUND(J637*E637,2)</f>
        <v>0</v>
      </c>
      <c r="L637" s="96"/>
      <c r="M637" s="86">
        <v>1</v>
      </c>
    </row>
    <row r="638" s="86" customFormat="1" ht="60" customHeight="1" outlineLevel="2" spans="1:15 16379:16382">
      <c r="A638" s="103">
        <f>1+N(A637)</f>
        <v>3</v>
      </c>
      <c r="B638" s="104" t="s">
        <v>86</v>
      </c>
      <c r="C638" s="99" t="s">
        <v>87</v>
      </c>
      <c r="D638" s="100" t="s">
        <v>65</v>
      </c>
      <c r="E638" s="101">
        <v>21.449</v>
      </c>
      <c r="F638" s="101"/>
      <c r="G638" s="101"/>
      <c r="H638" s="101"/>
      <c r="I638" s="27">
        <f>(F638+G638+H638)*$I$3</f>
        <v>0</v>
      </c>
      <c r="J638" s="28">
        <f>ROUND(SUM(F638:I638),2)</f>
        <v>0</v>
      </c>
      <c r="K638" s="29">
        <f>ROUND(J638*E638,2)</f>
        <v>0</v>
      </c>
      <c r="L638" s="96"/>
      <c r="M638" s="86">
        <v>1</v>
      </c>
    </row>
    <row r="639" s="86" customFormat="1" ht="60" customHeight="1" outlineLevel="2" spans="1:15 16379:16382">
      <c r="A639" s="103">
        <f>1+N(A638)</f>
        <v>4</v>
      </c>
      <c r="B639" s="98" t="s">
        <v>234</v>
      </c>
      <c r="C639" s="99" t="s">
        <v>235</v>
      </c>
      <c r="D639" s="105" t="s">
        <v>58</v>
      </c>
      <c r="E639" s="101">
        <f>(7.46+8.36)*0.095</f>
        <v>1.5029</v>
      </c>
      <c r="F639" s="101"/>
      <c r="G639" s="101"/>
      <c r="H639" s="101"/>
      <c r="I639" s="27">
        <f>(F639+G639+H639)*$I$3</f>
        <v>0</v>
      </c>
      <c r="J639" s="28">
        <f>ROUND(SUM(F639:I639),2)</f>
        <v>0</v>
      </c>
      <c r="K639" s="29">
        <f>ROUND(J639*E639,2)</f>
        <v>0</v>
      </c>
      <c r="L639" s="96"/>
      <c r="M639" s="86">
        <v>1</v>
      </c>
    </row>
    <row r="640" s="86" customFormat="1" ht="24" customHeight="1" outlineLevel="1" spans="1:15 16379:16382">
      <c r="A640" s="97"/>
      <c r="B640" s="98" t="s">
        <v>96</v>
      </c>
      <c r="C640" s="99"/>
      <c r="D640" s="100"/>
      <c r="E640" s="101"/>
      <c r="F640" s="101"/>
      <c r="G640" s="101"/>
      <c r="H640" s="101"/>
      <c r="I640" s="101"/>
      <c r="J640" s="101"/>
      <c r="K640" s="102"/>
      <c r="L640" s="96"/>
    </row>
    <row r="641" s="86" customFormat="1" ht="96" outlineLevel="2" spans="1:15">
      <c r="A641" s="103">
        <f t="shared" ref="A641:A646" si="112">1+N(A640)</f>
        <v>1</v>
      </c>
      <c r="B641" s="98" t="s">
        <v>97</v>
      </c>
      <c r="C641" s="108" t="s">
        <v>98</v>
      </c>
      <c r="D641" s="100" t="s">
        <v>58</v>
      </c>
      <c r="E641" s="101">
        <v>20.76</v>
      </c>
      <c r="F641" s="101"/>
      <c r="G641" s="101"/>
      <c r="H641" s="101"/>
      <c r="I641" s="27">
        <f t="shared" ref="I641:I646" si="113">(F641+G641+H641)*$I$3</f>
        <v>0</v>
      </c>
      <c r="J641" s="28">
        <f t="shared" ref="J641:J646" si="114">ROUND(SUM(F641:I641),2)</f>
        <v>0</v>
      </c>
      <c r="K641" s="29">
        <f t="shared" ref="K641:K646" si="115">ROUND(J641*E641,2)</f>
        <v>0</v>
      </c>
      <c r="L641" s="96"/>
      <c r="M641" s="86">
        <v>1</v>
      </c>
    </row>
    <row r="642" s="86" customFormat="1" ht="72" customHeight="1" outlineLevel="2" spans="1:15">
      <c r="A642" s="103">
        <f t="shared" si="112"/>
        <v>2</v>
      </c>
      <c r="B642" s="98" t="s">
        <v>99</v>
      </c>
      <c r="C642" s="99" t="s">
        <v>100</v>
      </c>
      <c r="D642" s="100" t="s">
        <v>65</v>
      </c>
      <c r="E642" s="101">
        <v>12.65</v>
      </c>
      <c r="F642" s="101"/>
      <c r="G642" s="101"/>
      <c r="H642" s="101"/>
      <c r="I642" s="27">
        <f t="shared" si="113"/>
        <v>0</v>
      </c>
      <c r="J642" s="28">
        <f t="shared" si="114"/>
        <v>0</v>
      </c>
      <c r="K642" s="29">
        <f t="shared" si="115"/>
        <v>0</v>
      </c>
      <c r="L642" s="96"/>
      <c r="M642" s="86">
        <v>1</v>
      </c>
    </row>
    <row r="643" s="86" customFormat="1" ht="72" customHeight="1" outlineLevel="2" spans="1:15">
      <c r="A643" s="103">
        <f t="shared" si="112"/>
        <v>3</v>
      </c>
      <c r="B643" s="98" t="s">
        <v>101</v>
      </c>
      <c r="C643" s="99" t="s">
        <v>102</v>
      </c>
      <c r="D643" s="100" t="s">
        <v>65</v>
      </c>
      <c r="E643" s="101">
        <v>12.65</v>
      </c>
      <c r="F643" s="101"/>
      <c r="G643" s="101"/>
      <c r="H643" s="101"/>
      <c r="I643" s="27">
        <f t="shared" si="113"/>
        <v>0</v>
      </c>
      <c r="J643" s="28">
        <f t="shared" si="114"/>
        <v>0</v>
      </c>
      <c r="K643" s="29">
        <f t="shared" si="115"/>
        <v>0</v>
      </c>
      <c r="L643" s="96"/>
      <c r="M643" s="86">
        <v>1</v>
      </c>
    </row>
    <row r="644" s="86" customFormat="1" ht="72" customHeight="1" outlineLevel="2" spans="1:15">
      <c r="A644" s="103">
        <f t="shared" si="112"/>
        <v>4</v>
      </c>
      <c r="B644" s="98" t="s">
        <v>263</v>
      </c>
      <c r="C644" s="99" t="s">
        <v>264</v>
      </c>
      <c r="D644" s="100" t="s">
        <v>65</v>
      </c>
      <c r="E644" s="101">
        <v>4.5</v>
      </c>
      <c r="F644" s="101"/>
      <c r="G644" s="101"/>
      <c r="H644" s="101"/>
      <c r="I644" s="27">
        <f t="shared" si="113"/>
        <v>0</v>
      </c>
      <c r="J644" s="28">
        <f t="shared" si="114"/>
        <v>0</v>
      </c>
      <c r="K644" s="29">
        <f t="shared" si="115"/>
        <v>0</v>
      </c>
      <c r="L644" s="96"/>
      <c r="M644" s="86">
        <v>1</v>
      </c>
    </row>
    <row r="645" s="86" customFormat="1" ht="72" customHeight="1" outlineLevel="2" spans="1:15">
      <c r="A645" s="103">
        <f t="shared" si="112"/>
        <v>5</v>
      </c>
      <c r="B645" s="98" t="s">
        <v>103</v>
      </c>
      <c r="C645" s="99" t="s">
        <v>104</v>
      </c>
      <c r="D645" s="100" t="s">
        <v>65</v>
      </c>
      <c r="E645" s="101">
        <f>1.2*2*1</f>
        <v>2.4</v>
      </c>
      <c r="F645" s="101"/>
      <c r="G645" s="101"/>
      <c r="H645" s="101"/>
      <c r="I645" s="27">
        <f t="shared" si="113"/>
        <v>0</v>
      </c>
      <c r="J645" s="28">
        <f t="shared" si="114"/>
        <v>0</v>
      </c>
      <c r="K645" s="29">
        <f t="shared" si="115"/>
        <v>0</v>
      </c>
      <c r="L645" s="96"/>
      <c r="M645" s="86">
        <v>1</v>
      </c>
    </row>
    <row r="646" s="86" customFormat="1" ht="72" customHeight="1" outlineLevel="2" spans="1:15">
      <c r="A646" s="103">
        <f t="shared" si="112"/>
        <v>6</v>
      </c>
      <c r="B646" s="98" t="s">
        <v>105</v>
      </c>
      <c r="C646" s="99" t="s">
        <v>106</v>
      </c>
      <c r="D646" s="100" t="s">
        <v>58</v>
      </c>
      <c r="E646" s="101">
        <f>20.76+12.65*0.3+4.5*0.4</f>
        <v>26.355</v>
      </c>
      <c r="F646" s="101"/>
      <c r="G646" s="101"/>
      <c r="H646" s="101"/>
      <c r="I646" s="27">
        <f t="shared" si="113"/>
        <v>0</v>
      </c>
      <c r="J646" s="28">
        <f t="shared" si="114"/>
        <v>0</v>
      </c>
      <c r="K646" s="29">
        <f t="shared" si="115"/>
        <v>0</v>
      </c>
      <c r="L646" s="96"/>
      <c r="M646" s="86">
        <v>1</v>
      </c>
    </row>
    <row r="647" s="86" customFormat="1" ht="24" customHeight="1" outlineLevel="1" spans="1:15">
      <c r="A647" s="97"/>
      <c r="B647" s="98" t="s">
        <v>107</v>
      </c>
      <c r="C647" s="99"/>
      <c r="D647" s="100"/>
      <c r="E647" s="101"/>
      <c r="F647" s="101"/>
      <c r="G647" s="101"/>
      <c r="H647" s="101"/>
      <c r="I647" s="101"/>
      <c r="J647" s="101"/>
      <c r="K647" s="102"/>
      <c r="L647" s="96"/>
    </row>
    <row r="648" s="86" customFormat="1" ht="72" outlineLevel="2" spans="1:15">
      <c r="A648" s="103">
        <f>1+N(A647)</f>
        <v>1</v>
      </c>
      <c r="B648" s="98" t="s">
        <v>333</v>
      </c>
      <c r="C648" s="99" t="s">
        <v>334</v>
      </c>
      <c r="D648" s="100" t="s">
        <v>58</v>
      </c>
      <c r="E648" s="101">
        <f>0.926*3.2</f>
        <v>2.9632</v>
      </c>
      <c r="F648" s="101"/>
      <c r="G648" s="101"/>
      <c r="H648" s="101"/>
      <c r="I648" s="27">
        <f>(F648+G648+H648)*$I$3</f>
        <v>0</v>
      </c>
      <c r="J648" s="28">
        <f>ROUND(SUM(F648:I648),2)</f>
        <v>0</v>
      </c>
      <c r="K648" s="29">
        <f>ROUND(J648*E648,2)</f>
        <v>0</v>
      </c>
      <c r="L648" s="96"/>
      <c r="M648" s="86">
        <v>1</v>
      </c>
    </row>
    <row r="649" s="86" customFormat="1" ht="24" customHeight="1" outlineLevel="1" spans="1:15">
      <c r="A649" s="92" t="s">
        <v>206</v>
      </c>
      <c r="B649" s="93" t="s">
        <v>335</v>
      </c>
      <c r="C649" s="119"/>
      <c r="D649" s="94"/>
      <c r="E649" s="95"/>
      <c r="F649" s="95"/>
      <c r="G649" s="95"/>
      <c r="H649" s="95"/>
      <c r="I649" s="95"/>
      <c r="J649" s="95"/>
      <c r="K649" s="23"/>
      <c r="L649" s="96"/>
      <c r="O649" s="86" t="str">
        <f>_xlfn.DISPIMG("ID_27697568629A418B8C94BA218061C315",1)</f>
        <v>=DISPIMG("ID_27697568629A418B8C94BA218061C315",1)</v>
      </c>
    </row>
    <row r="650" s="86" customFormat="1" ht="24" customHeight="1" outlineLevel="1" spans="1:15">
      <c r="A650" s="97"/>
      <c r="B650" s="98" t="s">
        <v>55</v>
      </c>
      <c r="C650" s="99"/>
      <c r="D650" s="100"/>
      <c r="E650" s="101"/>
      <c r="F650" s="101"/>
      <c r="G650" s="101"/>
      <c r="H650" s="101"/>
      <c r="I650" s="101"/>
      <c r="J650" s="101"/>
      <c r="K650" s="102"/>
      <c r="L650" s="96"/>
    </row>
    <row r="651" s="86" customFormat="1" ht="96" outlineLevel="2" spans="1:15">
      <c r="A651" s="103">
        <f>1+N(A650)</f>
        <v>1</v>
      </c>
      <c r="B651" s="98" t="s">
        <v>56</v>
      </c>
      <c r="C651" s="99" t="s">
        <v>57</v>
      </c>
      <c r="D651" s="100" t="s">
        <v>58</v>
      </c>
      <c r="E651" s="101">
        <v>5.45</v>
      </c>
      <c r="F651" s="101"/>
      <c r="G651" s="101"/>
      <c r="H651" s="27"/>
      <c r="I651" s="27">
        <f>(F651+G651+H651)*$I$3</f>
        <v>0</v>
      </c>
      <c r="J651" s="28">
        <f>ROUND(SUM(F651:I651),2)</f>
        <v>0</v>
      </c>
      <c r="K651" s="29">
        <f>ROUND(J651*E651,2)</f>
        <v>0</v>
      </c>
      <c r="L651" s="96"/>
      <c r="M651" s="86">
        <v>1</v>
      </c>
    </row>
    <row r="652" s="86" customFormat="1" ht="108" outlineLevel="2" spans="1:15">
      <c r="A652" s="103">
        <f>1+N(A651)</f>
        <v>2</v>
      </c>
      <c r="B652" s="98" t="s">
        <v>59</v>
      </c>
      <c r="C652" s="99" t="s">
        <v>60</v>
      </c>
      <c r="D652" s="100" t="s">
        <v>58</v>
      </c>
      <c r="E652" s="101">
        <v>8.2</v>
      </c>
      <c r="F652" s="101"/>
      <c r="G652" s="101"/>
      <c r="H652" s="101"/>
      <c r="I652" s="27">
        <f>(F652+G652+H652)*$I$3</f>
        <v>0</v>
      </c>
      <c r="J652" s="28">
        <f>ROUND(SUM(F652:I652),2)</f>
        <v>0</v>
      </c>
      <c r="K652" s="29">
        <f>ROUND(J652*E652,2)</f>
        <v>0</v>
      </c>
      <c r="L652" s="96"/>
      <c r="M652" s="86">
        <v>1</v>
      </c>
    </row>
    <row r="653" s="86" customFormat="1" ht="48" outlineLevel="2" spans="1:15">
      <c r="A653" s="103">
        <f>1+N(A652)</f>
        <v>3</v>
      </c>
      <c r="B653" s="98" t="s">
        <v>66</v>
      </c>
      <c r="C653" s="99" t="s">
        <v>67</v>
      </c>
      <c r="D653" s="100" t="s">
        <v>58</v>
      </c>
      <c r="E653" s="101">
        <v>13.65</v>
      </c>
      <c r="F653" s="101"/>
      <c r="G653" s="101"/>
      <c r="H653" s="101"/>
      <c r="I653" s="27">
        <f>(F653+G653+H653)*$I$3</f>
        <v>0</v>
      </c>
      <c r="J653" s="28">
        <f>ROUND(SUM(F653:I653),2)</f>
        <v>0</v>
      </c>
      <c r="K653" s="29">
        <f>ROUND(J653*E653,2)</f>
        <v>0</v>
      </c>
      <c r="L653" s="96"/>
      <c r="M653" s="86">
        <v>1</v>
      </c>
    </row>
    <row r="654" s="86" customFormat="1" ht="36" outlineLevel="2" spans="1:15">
      <c r="A654" s="103">
        <f>1+N(A653)</f>
        <v>4</v>
      </c>
      <c r="B654" s="98" t="s">
        <v>63</v>
      </c>
      <c r="C654" s="99" t="s">
        <v>64</v>
      </c>
      <c r="D654" s="100" t="s">
        <v>65</v>
      </c>
      <c r="E654" s="101">
        <v>10.6</v>
      </c>
      <c r="F654" s="101"/>
      <c r="G654" s="101"/>
      <c r="H654" s="101"/>
      <c r="I654" s="27">
        <f>(F654+G654+H654)*$I$3</f>
        <v>0</v>
      </c>
      <c r="J654" s="28">
        <f>ROUND(SUM(F654:I654),2)</f>
        <v>0</v>
      </c>
      <c r="K654" s="29">
        <f>ROUND(J654*E654,2)</f>
        <v>0</v>
      </c>
      <c r="L654" s="96"/>
      <c r="M654" s="86">
        <v>1</v>
      </c>
    </row>
    <row r="655" s="86" customFormat="1" ht="24" customHeight="1" outlineLevel="1" spans="1:15">
      <c r="A655" s="97"/>
      <c r="B655" s="98" t="s">
        <v>68</v>
      </c>
      <c r="C655" s="99"/>
      <c r="D655" s="100"/>
      <c r="E655" s="101"/>
      <c r="F655" s="101"/>
      <c r="G655" s="101"/>
      <c r="H655" s="101"/>
      <c r="I655" s="101"/>
      <c r="J655" s="101"/>
      <c r="K655" s="102"/>
      <c r="L655" s="96"/>
    </row>
    <row r="656" s="86" customFormat="1" ht="96" outlineLevel="2" spans="1:15">
      <c r="A656" s="103">
        <f t="shared" ref="A656:A664" si="116">1+N(A655)</f>
        <v>1</v>
      </c>
      <c r="B656" s="105" t="s">
        <v>71</v>
      </c>
      <c r="C656" s="106" t="s">
        <v>72</v>
      </c>
      <c r="D656" s="100" t="s">
        <v>58</v>
      </c>
      <c r="E656" s="101">
        <f>34.337+0.814</f>
        <v>35.151</v>
      </c>
      <c r="F656" s="101"/>
      <c r="G656" s="101"/>
      <c r="H656" s="101"/>
      <c r="I656" s="27">
        <f t="shared" ref="I656:I664" si="117">(F656+G656+H656)*$I$3</f>
        <v>0</v>
      </c>
      <c r="J656" s="28">
        <f t="shared" ref="J656:J664" si="118">ROUND(SUM(F656:I656),2)</f>
        <v>0</v>
      </c>
      <c r="K656" s="29">
        <f t="shared" ref="K656:K664" si="119">ROUND(J656*E656,2)</f>
        <v>0</v>
      </c>
      <c r="L656" s="96"/>
      <c r="M656" s="86">
        <v>1</v>
      </c>
    </row>
    <row r="657" s="86" customFormat="1" ht="48" outlineLevel="2" spans="1:13">
      <c r="A657" s="103">
        <f t="shared" si="116"/>
        <v>2</v>
      </c>
      <c r="B657" s="98" t="s">
        <v>77</v>
      </c>
      <c r="C657" s="106" t="s">
        <v>78</v>
      </c>
      <c r="D657" s="100" t="s">
        <v>58</v>
      </c>
      <c r="E657" s="101">
        <f>1.07*3.4*2+1.246*1.87</f>
        <v>9.60602</v>
      </c>
      <c r="F657" s="101"/>
      <c r="G657" s="101"/>
      <c r="H657" s="101"/>
      <c r="I657" s="27">
        <f t="shared" si="117"/>
        <v>0</v>
      </c>
      <c r="J657" s="28">
        <f t="shared" si="118"/>
        <v>0</v>
      </c>
      <c r="K657" s="29">
        <f t="shared" si="119"/>
        <v>0</v>
      </c>
      <c r="L657" s="96"/>
      <c r="M657" s="86">
        <v>1</v>
      </c>
    </row>
    <row r="658" s="86" customFormat="1" ht="48" outlineLevel="2" spans="1:13">
      <c r="A658" s="103">
        <f t="shared" si="116"/>
        <v>3</v>
      </c>
      <c r="B658" s="105" t="s">
        <v>79</v>
      </c>
      <c r="C658" s="106" t="s">
        <v>78</v>
      </c>
      <c r="D658" s="105" t="s">
        <v>58</v>
      </c>
      <c r="E658" s="101">
        <f>0.34*3.4*2*2</f>
        <v>4.624</v>
      </c>
      <c r="F658" s="101"/>
      <c r="G658" s="101"/>
      <c r="H658" s="101"/>
      <c r="I658" s="27">
        <f t="shared" si="117"/>
        <v>0</v>
      </c>
      <c r="J658" s="28">
        <f t="shared" si="118"/>
        <v>0</v>
      </c>
      <c r="K658" s="29">
        <f t="shared" si="119"/>
        <v>0</v>
      </c>
      <c r="L658" s="96"/>
      <c r="M658" s="86">
        <v>1</v>
      </c>
    </row>
    <row r="659" s="86" customFormat="1" ht="60" outlineLevel="2" spans="1:13">
      <c r="A659" s="103">
        <f t="shared" si="116"/>
        <v>4</v>
      </c>
      <c r="B659" s="105" t="s">
        <v>80</v>
      </c>
      <c r="C659" s="106" t="s">
        <v>81</v>
      </c>
      <c r="D659" s="105" t="s">
        <v>58</v>
      </c>
      <c r="E659" s="101">
        <f>+(0.061+1.09+0.114+0.074)*0.95*2</f>
        <v>2.5441</v>
      </c>
      <c r="F659" s="101"/>
      <c r="G659" s="101"/>
      <c r="H659" s="101"/>
      <c r="I659" s="27">
        <f t="shared" si="117"/>
        <v>0</v>
      </c>
      <c r="J659" s="28">
        <f t="shared" si="118"/>
        <v>0</v>
      </c>
      <c r="K659" s="29">
        <f t="shared" si="119"/>
        <v>0</v>
      </c>
      <c r="L659" s="96"/>
      <c r="M659" s="86">
        <v>1</v>
      </c>
    </row>
    <row r="660" s="86" customFormat="1" ht="48" outlineLevel="2" spans="1:13">
      <c r="A660" s="103">
        <f t="shared" si="116"/>
        <v>5</v>
      </c>
      <c r="B660" s="105" t="s">
        <v>82</v>
      </c>
      <c r="C660" s="106" t="s">
        <v>83</v>
      </c>
      <c r="D660" s="105" t="s">
        <v>58</v>
      </c>
      <c r="E660" s="101">
        <v>0.252</v>
      </c>
      <c r="F660" s="101"/>
      <c r="G660" s="101"/>
      <c r="H660" s="101"/>
      <c r="I660" s="27">
        <f t="shared" si="117"/>
        <v>0</v>
      </c>
      <c r="J660" s="28">
        <f t="shared" si="118"/>
        <v>0</v>
      </c>
      <c r="K660" s="29">
        <f t="shared" si="119"/>
        <v>0</v>
      </c>
      <c r="L660" s="96"/>
      <c r="M660" s="86">
        <v>1</v>
      </c>
    </row>
    <row r="661" s="86" customFormat="1" ht="48" outlineLevel="2" spans="1:13">
      <c r="A661" s="103">
        <f t="shared" si="116"/>
        <v>6</v>
      </c>
      <c r="B661" s="105" t="s">
        <v>86</v>
      </c>
      <c r="C661" s="106" t="s">
        <v>87</v>
      </c>
      <c r="D661" s="105" t="s">
        <v>65</v>
      </c>
      <c r="E661" s="101">
        <v>10.529</v>
      </c>
      <c r="F661" s="101"/>
      <c r="G661" s="101"/>
      <c r="H661" s="101"/>
      <c r="I661" s="27">
        <f t="shared" si="117"/>
        <v>0</v>
      </c>
      <c r="J661" s="28">
        <f t="shared" si="118"/>
        <v>0</v>
      </c>
      <c r="K661" s="29">
        <f t="shared" si="119"/>
        <v>0</v>
      </c>
      <c r="L661" s="96"/>
      <c r="M661" s="86">
        <v>1</v>
      </c>
    </row>
    <row r="662" s="86" customFormat="1" ht="36" outlineLevel="2" spans="1:13">
      <c r="A662" s="103">
        <f t="shared" si="116"/>
        <v>7</v>
      </c>
      <c r="B662" s="105" t="s">
        <v>88</v>
      </c>
      <c r="C662" s="106" t="s">
        <v>89</v>
      </c>
      <c r="D662" s="105" t="s">
        <v>65</v>
      </c>
      <c r="E662" s="101">
        <f>0.17*2</f>
        <v>0.34</v>
      </c>
      <c r="F662" s="101"/>
      <c r="G662" s="101"/>
      <c r="H662" s="101"/>
      <c r="I662" s="27">
        <f t="shared" si="117"/>
        <v>0</v>
      </c>
      <c r="J662" s="28">
        <f t="shared" si="118"/>
        <v>0</v>
      </c>
      <c r="K662" s="29">
        <f t="shared" si="119"/>
        <v>0</v>
      </c>
      <c r="L662" s="96"/>
      <c r="M662" s="86">
        <v>1</v>
      </c>
    </row>
    <row r="663" s="86" customFormat="1" ht="48" outlineLevel="2" spans="1:13">
      <c r="A663" s="103">
        <f t="shared" si="116"/>
        <v>8</v>
      </c>
      <c r="B663" s="105" t="s">
        <v>92</v>
      </c>
      <c r="C663" s="106" t="s">
        <v>93</v>
      </c>
      <c r="D663" s="105" t="s">
        <v>65</v>
      </c>
      <c r="E663" s="101">
        <v>10.189</v>
      </c>
      <c r="F663" s="101"/>
      <c r="G663" s="101"/>
      <c r="H663" s="101"/>
      <c r="I663" s="27">
        <f t="shared" si="117"/>
        <v>0</v>
      </c>
      <c r="J663" s="28">
        <f t="shared" si="118"/>
        <v>0</v>
      </c>
      <c r="K663" s="29">
        <f t="shared" si="119"/>
        <v>0</v>
      </c>
      <c r="L663" s="96"/>
      <c r="M663" s="86">
        <v>1</v>
      </c>
    </row>
    <row r="664" s="86" customFormat="1" ht="48" outlineLevel="2" spans="1:13">
      <c r="A664" s="103">
        <f t="shared" si="116"/>
        <v>9</v>
      </c>
      <c r="B664" s="105" t="s">
        <v>94</v>
      </c>
      <c r="C664" s="106" t="s">
        <v>95</v>
      </c>
      <c r="D664" s="105" t="s">
        <v>65</v>
      </c>
      <c r="E664" s="101">
        <v>10.529</v>
      </c>
      <c r="F664" s="101"/>
      <c r="G664" s="101"/>
      <c r="H664" s="101"/>
      <c r="I664" s="27">
        <f t="shared" si="117"/>
        <v>0</v>
      </c>
      <c r="J664" s="28">
        <f t="shared" si="118"/>
        <v>0</v>
      </c>
      <c r="K664" s="29">
        <f t="shared" si="119"/>
        <v>0</v>
      </c>
      <c r="L664" s="96"/>
      <c r="M664" s="86">
        <v>1</v>
      </c>
    </row>
    <row r="665" s="86" customFormat="1" ht="24" customHeight="1" outlineLevel="1" spans="1:13">
      <c r="A665" s="97"/>
      <c r="B665" s="98" t="s">
        <v>96</v>
      </c>
      <c r="C665" s="99"/>
      <c r="D665" s="100"/>
      <c r="E665" s="101"/>
      <c r="F665" s="101"/>
      <c r="G665" s="101"/>
      <c r="H665" s="101"/>
      <c r="I665" s="101"/>
      <c r="J665" s="101"/>
      <c r="K665" s="102"/>
      <c r="L665" s="96"/>
    </row>
    <row r="666" s="86" customFormat="1" ht="96" outlineLevel="2" spans="1:13">
      <c r="A666" s="103">
        <f>1+N(A665)</f>
        <v>1</v>
      </c>
      <c r="B666" s="98" t="s">
        <v>97</v>
      </c>
      <c r="C666" s="108" t="s">
        <v>98</v>
      </c>
      <c r="D666" s="100" t="s">
        <v>58</v>
      </c>
      <c r="E666" s="101">
        <v>13.65</v>
      </c>
      <c r="F666" s="101"/>
      <c r="G666" s="101"/>
      <c r="H666" s="101"/>
      <c r="I666" s="27">
        <f>(F666+G666+H666)*$I$3</f>
        <v>0</v>
      </c>
      <c r="J666" s="28">
        <f>ROUND(SUM(F666:I666),2)</f>
        <v>0</v>
      </c>
      <c r="K666" s="29">
        <f>ROUND(J666*E666,2)</f>
        <v>0</v>
      </c>
      <c r="L666" s="96"/>
      <c r="M666" s="86">
        <v>1</v>
      </c>
    </row>
    <row r="667" s="86" customFormat="1" ht="72" customHeight="1" outlineLevel="2" spans="1:13">
      <c r="A667" s="103">
        <f>1+N(A666)</f>
        <v>2</v>
      </c>
      <c r="B667" s="98" t="s">
        <v>99</v>
      </c>
      <c r="C667" s="99" t="s">
        <v>100</v>
      </c>
      <c r="D667" s="100" t="s">
        <v>65</v>
      </c>
      <c r="E667" s="101">
        <v>10.36</v>
      </c>
      <c r="F667" s="101"/>
      <c r="G667" s="101"/>
      <c r="H667" s="101"/>
      <c r="I667" s="27">
        <f>(F667+G667+H667)*$I$3</f>
        <v>0</v>
      </c>
      <c r="J667" s="28">
        <f>ROUND(SUM(F667:I667),2)</f>
        <v>0</v>
      </c>
      <c r="K667" s="29">
        <f>ROUND(J667*E667,2)</f>
        <v>0</v>
      </c>
      <c r="L667" s="96"/>
      <c r="M667" s="86">
        <v>1</v>
      </c>
    </row>
    <row r="668" s="86" customFormat="1" ht="72" customHeight="1" outlineLevel="2" spans="1:13">
      <c r="A668" s="103">
        <f>1+N(A667)</f>
        <v>3</v>
      </c>
      <c r="B668" s="98" t="s">
        <v>101</v>
      </c>
      <c r="C668" s="99" t="s">
        <v>102</v>
      </c>
      <c r="D668" s="100" t="s">
        <v>65</v>
      </c>
      <c r="E668" s="101">
        <v>10.36</v>
      </c>
      <c r="F668" s="101"/>
      <c r="G668" s="101"/>
      <c r="H668" s="101"/>
      <c r="I668" s="27">
        <f>(F668+G668+H668)*$I$3</f>
        <v>0</v>
      </c>
      <c r="J668" s="28">
        <f>ROUND(SUM(F668:I668),2)</f>
        <v>0</v>
      </c>
      <c r="K668" s="29">
        <f>ROUND(J668*E668,2)</f>
        <v>0</v>
      </c>
      <c r="L668" s="96"/>
      <c r="M668" s="86">
        <v>1</v>
      </c>
    </row>
    <row r="669" s="86" customFormat="1" ht="72" customHeight="1" outlineLevel="2" spans="1:13">
      <c r="A669" s="103">
        <f>1+N(A668)</f>
        <v>4</v>
      </c>
      <c r="B669" s="98" t="s">
        <v>103</v>
      </c>
      <c r="C669" s="99" t="s">
        <v>104</v>
      </c>
      <c r="D669" s="100" t="s">
        <v>65</v>
      </c>
      <c r="E669" s="101">
        <f>1.2*2*1</f>
        <v>2.4</v>
      </c>
      <c r="F669" s="101"/>
      <c r="G669" s="101"/>
      <c r="H669" s="101"/>
      <c r="I669" s="27">
        <f>(F669+G669+H669)*$I$3</f>
        <v>0</v>
      </c>
      <c r="J669" s="28">
        <f>ROUND(SUM(F669:I669),2)</f>
        <v>0</v>
      </c>
      <c r="K669" s="29">
        <f>ROUND(J669*E669,2)</f>
        <v>0</v>
      </c>
      <c r="L669" s="96"/>
      <c r="M669" s="86">
        <v>1</v>
      </c>
    </row>
    <row r="670" s="86" customFormat="1" ht="72" customHeight="1" outlineLevel="2" spans="1:13">
      <c r="A670" s="103">
        <f>1+N(A669)</f>
        <v>5</v>
      </c>
      <c r="B670" s="98" t="s">
        <v>105</v>
      </c>
      <c r="C670" s="99" t="s">
        <v>106</v>
      </c>
      <c r="D670" s="100" t="s">
        <v>58</v>
      </c>
      <c r="E670" s="101">
        <f>13.65+10.36*0.3</f>
        <v>16.758</v>
      </c>
      <c r="F670" s="101"/>
      <c r="G670" s="101"/>
      <c r="H670" s="101"/>
      <c r="I670" s="27">
        <f>(F670+G670+H670)*$I$3</f>
        <v>0</v>
      </c>
      <c r="J670" s="28">
        <f>ROUND(SUM(F670:I670),2)</f>
        <v>0</v>
      </c>
      <c r="K670" s="29">
        <f>ROUND(J670*E670,2)</f>
        <v>0</v>
      </c>
      <c r="L670" s="96"/>
      <c r="M670" s="86">
        <v>1</v>
      </c>
    </row>
    <row r="671" s="86" customFormat="1" ht="24" customHeight="1" outlineLevel="1" spans="1:13">
      <c r="A671" s="97"/>
      <c r="B671" s="98" t="s">
        <v>107</v>
      </c>
      <c r="C671" s="99"/>
      <c r="D671" s="100"/>
      <c r="E671" s="101"/>
      <c r="F671" s="101"/>
      <c r="G671" s="101"/>
      <c r="H671" s="101"/>
      <c r="I671" s="101"/>
      <c r="J671" s="101"/>
      <c r="K671" s="102"/>
      <c r="L671" s="96"/>
    </row>
    <row r="672" s="86" customFormat="1" ht="60" outlineLevel="2" spans="1:13">
      <c r="A672" s="103">
        <f>1+N(A671)</f>
        <v>1</v>
      </c>
      <c r="B672" s="98" t="s">
        <v>336</v>
      </c>
      <c r="C672" s="99" t="s">
        <v>325</v>
      </c>
      <c r="D672" s="100" t="s">
        <v>58</v>
      </c>
      <c r="E672" s="101">
        <f>3.2*1.86</f>
        <v>5.952</v>
      </c>
      <c r="F672" s="101"/>
      <c r="G672" s="101"/>
      <c r="H672" s="101"/>
      <c r="I672" s="27">
        <f>(F672+G672+H672)*$I$3</f>
        <v>0</v>
      </c>
      <c r="J672" s="28">
        <f>ROUND(SUM(F672:I672),2)</f>
        <v>0</v>
      </c>
      <c r="K672" s="29">
        <f>ROUND(J672*E672,2)</f>
        <v>0</v>
      </c>
      <c r="L672" s="96"/>
      <c r="M672" s="86">
        <v>1</v>
      </c>
    </row>
    <row r="673" s="86" customFormat="1" ht="36" outlineLevel="2" spans="1:15">
      <c r="A673" s="103">
        <f>1+N(A672)</f>
        <v>2</v>
      </c>
      <c r="B673" s="98" t="s">
        <v>120</v>
      </c>
      <c r="C673" s="99" t="s">
        <v>109</v>
      </c>
      <c r="D673" s="100" t="s">
        <v>58</v>
      </c>
      <c r="E673" s="101">
        <f>0.75*3.4</f>
        <v>2.55</v>
      </c>
      <c r="F673" s="101"/>
      <c r="G673" s="101"/>
      <c r="H673" s="101"/>
      <c r="I673" s="27">
        <f>(F673+G673+H673)*$I$3</f>
        <v>0</v>
      </c>
      <c r="J673" s="28">
        <f>ROUND(SUM(F673:I673),2)</f>
        <v>0</v>
      </c>
      <c r="K673" s="29">
        <f>ROUND(J673*E673,2)</f>
        <v>0</v>
      </c>
      <c r="L673" s="96"/>
      <c r="M673" s="86">
        <v>1</v>
      </c>
    </row>
    <row r="674" s="86" customFormat="1" ht="24" customHeight="1" outlineLevel="1" spans="1:15">
      <c r="A674" s="92" t="s">
        <v>337</v>
      </c>
      <c r="B674" s="93" t="s">
        <v>338</v>
      </c>
      <c r="C674" s="119"/>
      <c r="D674" s="94"/>
      <c r="E674" s="95"/>
      <c r="F674" s="95"/>
      <c r="G674" s="95"/>
      <c r="H674" s="95"/>
      <c r="I674" s="95"/>
      <c r="J674" s="95"/>
      <c r="K674" s="23"/>
      <c r="L674" s="96"/>
      <c r="O674" s="86" t="str">
        <f>_xlfn.DISPIMG("ID_299CC4902CCF459F91D60AB2E50B5CB9",1)</f>
        <v>=DISPIMG("ID_299CC4902CCF459F91D60AB2E50B5CB9",1)</v>
      </c>
    </row>
    <row r="675" s="86" customFormat="1" ht="24" customHeight="1" outlineLevel="1" spans="1:15">
      <c r="A675" s="97"/>
      <c r="B675" s="98" t="s">
        <v>55</v>
      </c>
      <c r="C675" s="99"/>
      <c r="D675" s="100"/>
      <c r="E675" s="101"/>
      <c r="F675" s="101"/>
      <c r="G675" s="101"/>
      <c r="H675" s="101"/>
      <c r="I675" s="101"/>
      <c r="J675" s="101"/>
      <c r="K675" s="102"/>
      <c r="L675" s="96"/>
    </row>
    <row r="676" s="86" customFormat="1" ht="72" outlineLevel="2" spans="1:15">
      <c r="A676" s="103">
        <f>1+N(A675)</f>
        <v>1</v>
      </c>
      <c r="B676" s="98" t="s">
        <v>320</v>
      </c>
      <c r="C676" s="99" t="s">
        <v>327</v>
      </c>
      <c r="D676" s="100" t="s">
        <v>58</v>
      </c>
      <c r="E676" s="101">
        <v>41</v>
      </c>
      <c r="F676" s="101"/>
      <c r="G676" s="101"/>
      <c r="H676" s="101"/>
      <c r="I676" s="27">
        <f>(F676+G676+H676)*$I$3</f>
        <v>0</v>
      </c>
      <c r="J676" s="28">
        <f>ROUND(SUM(F676:I676),2)</f>
        <v>0</v>
      </c>
      <c r="K676" s="29">
        <f>ROUND(J676*E676,2)</f>
        <v>0</v>
      </c>
      <c r="L676" s="96"/>
      <c r="M676" s="86">
        <v>1</v>
      </c>
    </row>
    <row r="677" s="86" customFormat="1" ht="60" outlineLevel="2" spans="1:15">
      <c r="A677" s="103">
        <f>1+N(A676)</f>
        <v>2</v>
      </c>
      <c r="B677" s="98" t="s">
        <v>163</v>
      </c>
      <c r="C677" s="99" t="s">
        <v>193</v>
      </c>
      <c r="D677" s="100" t="s">
        <v>58</v>
      </c>
      <c r="E677" s="101">
        <v>65.1</v>
      </c>
      <c r="F677" s="101"/>
      <c r="G677" s="101"/>
      <c r="H677" s="101"/>
      <c r="I677" s="27">
        <f>(F677+G677+H677)*$I$3</f>
        <v>0</v>
      </c>
      <c r="J677" s="28">
        <f>ROUND(SUM(F677:I677),2)</f>
        <v>0</v>
      </c>
      <c r="K677" s="29">
        <f>ROUND(J677*E677,2)</f>
        <v>0</v>
      </c>
      <c r="L677" s="96"/>
      <c r="M677" s="86">
        <v>1</v>
      </c>
    </row>
    <row r="678" s="86" customFormat="1" ht="36" outlineLevel="2" spans="1:15">
      <c r="A678" s="103">
        <f>1+N(A677)</f>
        <v>3</v>
      </c>
      <c r="B678" s="98" t="s">
        <v>63</v>
      </c>
      <c r="C678" s="99" t="s">
        <v>64</v>
      </c>
      <c r="D678" s="100" t="s">
        <v>65</v>
      </c>
      <c r="E678" s="101">
        <v>48.4</v>
      </c>
      <c r="F678" s="101"/>
      <c r="G678" s="101"/>
      <c r="H678" s="101"/>
      <c r="I678" s="27">
        <f>(F678+G678+H678)*$I$3</f>
        <v>0</v>
      </c>
      <c r="J678" s="28">
        <f>ROUND(SUM(F678:I678),2)</f>
        <v>0</v>
      </c>
      <c r="K678" s="29">
        <f>ROUND(J678*E678,2)</f>
        <v>0</v>
      </c>
      <c r="L678" s="96"/>
      <c r="M678" s="86">
        <v>1</v>
      </c>
    </row>
    <row r="679" s="86" customFormat="1" ht="24" customHeight="1" outlineLevel="1" spans="1:15">
      <c r="A679" s="97"/>
      <c r="B679" s="98" t="s">
        <v>68</v>
      </c>
      <c r="C679" s="99"/>
      <c r="D679" s="100"/>
      <c r="E679" s="101"/>
      <c r="F679" s="101"/>
      <c r="G679" s="101"/>
      <c r="H679" s="101"/>
      <c r="I679" s="101"/>
      <c r="J679" s="101"/>
      <c r="K679" s="102"/>
      <c r="L679" s="96"/>
    </row>
    <row r="680" s="86" customFormat="1" ht="96" outlineLevel="2" spans="1:15">
      <c r="A680" s="103">
        <f t="shared" ref="A680:A687" si="120">1+N(A679)</f>
        <v>1</v>
      </c>
      <c r="B680" s="104" t="s">
        <v>339</v>
      </c>
      <c r="C680" s="99" t="s">
        <v>340</v>
      </c>
      <c r="D680" s="100" t="s">
        <v>58</v>
      </c>
      <c r="E680" s="101">
        <v>19.687</v>
      </c>
      <c r="F680" s="101"/>
      <c r="G680" s="101"/>
      <c r="H680" s="101"/>
      <c r="I680" s="27">
        <f t="shared" ref="I680:I687" si="121">(F680+G680+H680)*$I$3</f>
        <v>0</v>
      </c>
      <c r="J680" s="28">
        <f t="shared" ref="J680:J687" si="122">ROUND(SUM(F680:I680),2)</f>
        <v>0</v>
      </c>
      <c r="K680" s="29">
        <f t="shared" ref="K680:K687" si="123">ROUND(J680*E680,2)</f>
        <v>0</v>
      </c>
      <c r="L680" s="96"/>
      <c r="M680" s="86">
        <v>1</v>
      </c>
    </row>
    <row r="681" s="86" customFormat="1" ht="60" outlineLevel="2" spans="1:15">
      <c r="A681" s="103">
        <f t="shared" si="120"/>
        <v>2</v>
      </c>
      <c r="B681" s="98" t="s">
        <v>169</v>
      </c>
      <c r="C681" s="99" t="s">
        <v>257</v>
      </c>
      <c r="D681" s="100" t="s">
        <v>58</v>
      </c>
      <c r="E681" s="101">
        <v>13.294</v>
      </c>
      <c r="F681" s="101"/>
      <c r="G681" s="101"/>
      <c r="H681" s="101"/>
      <c r="I681" s="27">
        <f t="shared" si="121"/>
        <v>0</v>
      </c>
      <c r="J681" s="28">
        <f t="shared" si="122"/>
        <v>0</v>
      </c>
      <c r="K681" s="29">
        <f t="shared" si="123"/>
        <v>0</v>
      </c>
      <c r="L681" s="96"/>
      <c r="M681" s="86">
        <v>1</v>
      </c>
    </row>
    <row r="682" s="86" customFormat="1" ht="36" outlineLevel="2" spans="1:15">
      <c r="A682" s="103">
        <f t="shared" si="120"/>
        <v>3</v>
      </c>
      <c r="B682" s="98" t="s">
        <v>341</v>
      </c>
      <c r="C682" s="99" t="s">
        <v>342</v>
      </c>
      <c r="D682" s="100" t="s">
        <v>58</v>
      </c>
      <c r="E682" s="101">
        <v>40.177</v>
      </c>
      <c r="F682" s="101"/>
      <c r="G682" s="101"/>
      <c r="H682" s="101"/>
      <c r="I682" s="27">
        <f t="shared" si="121"/>
        <v>0</v>
      </c>
      <c r="J682" s="28">
        <f t="shared" si="122"/>
        <v>0</v>
      </c>
      <c r="K682" s="29">
        <f t="shared" si="123"/>
        <v>0</v>
      </c>
      <c r="L682" s="96"/>
      <c r="M682" s="86">
        <v>1</v>
      </c>
    </row>
    <row r="683" s="86" customFormat="1" ht="36" outlineLevel="2" spans="1:15">
      <c r="A683" s="103">
        <f t="shared" si="120"/>
        <v>4</v>
      </c>
      <c r="B683" s="98" t="s">
        <v>343</v>
      </c>
      <c r="C683" s="99" t="s">
        <v>344</v>
      </c>
      <c r="D683" s="100" t="s">
        <v>58</v>
      </c>
      <c r="E683" s="101">
        <v>53.763</v>
      </c>
      <c r="F683" s="101"/>
      <c r="G683" s="101"/>
      <c r="H683" s="101"/>
      <c r="I683" s="27">
        <f t="shared" si="121"/>
        <v>0</v>
      </c>
      <c r="J683" s="28">
        <f t="shared" si="122"/>
        <v>0</v>
      </c>
      <c r="K683" s="29">
        <f t="shared" si="123"/>
        <v>0</v>
      </c>
      <c r="L683" s="96"/>
      <c r="M683" s="86">
        <v>1</v>
      </c>
    </row>
    <row r="684" s="86" customFormat="1" ht="48" outlineLevel="2" spans="1:15">
      <c r="A684" s="103">
        <f t="shared" si="120"/>
        <v>5</v>
      </c>
      <c r="B684" s="98" t="s">
        <v>77</v>
      </c>
      <c r="C684" s="99" t="s">
        <v>78</v>
      </c>
      <c r="D684" s="100" t="s">
        <v>58</v>
      </c>
      <c r="E684" s="101">
        <f>1.02*3.4*2+1.246*1.87+1.07*3.4+1.046*3.77</f>
        <v>16.84744</v>
      </c>
      <c r="F684" s="101"/>
      <c r="G684" s="101"/>
      <c r="H684" s="101"/>
      <c r="I684" s="27">
        <f t="shared" si="121"/>
        <v>0</v>
      </c>
      <c r="J684" s="28">
        <f t="shared" si="122"/>
        <v>0</v>
      </c>
      <c r="K684" s="29">
        <f t="shared" si="123"/>
        <v>0</v>
      </c>
      <c r="L684" s="96"/>
      <c r="M684" s="86">
        <v>1</v>
      </c>
    </row>
    <row r="685" s="86" customFormat="1" ht="48" outlineLevel="2" spans="1:15">
      <c r="A685" s="103">
        <f t="shared" si="120"/>
        <v>6</v>
      </c>
      <c r="B685" s="98" t="s">
        <v>86</v>
      </c>
      <c r="C685" s="99" t="s">
        <v>87</v>
      </c>
      <c r="D685" s="100" t="s">
        <v>65</v>
      </c>
      <c r="E685" s="101">
        <v>44.894</v>
      </c>
      <c r="F685" s="101"/>
      <c r="G685" s="101"/>
      <c r="H685" s="101"/>
      <c r="I685" s="27">
        <f t="shared" si="121"/>
        <v>0</v>
      </c>
      <c r="J685" s="28">
        <f t="shared" si="122"/>
        <v>0</v>
      </c>
      <c r="K685" s="29">
        <f t="shared" si="123"/>
        <v>0</v>
      </c>
      <c r="L685" s="96"/>
      <c r="M685" s="86">
        <v>1</v>
      </c>
    </row>
    <row r="686" s="86" customFormat="1" ht="36" outlineLevel="2" spans="1:15">
      <c r="A686" s="103">
        <f t="shared" si="120"/>
        <v>7</v>
      </c>
      <c r="B686" s="98" t="s">
        <v>345</v>
      </c>
      <c r="C686" s="99" t="s">
        <v>346</v>
      </c>
      <c r="D686" s="100" t="s">
        <v>65</v>
      </c>
      <c r="E686" s="101">
        <v>10.3</v>
      </c>
      <c r="F686" s="101"/>
      <c r="G686" s="101"/>
      <c r="H686" s="101"/>
      <c r="I686" s="27">
        <f t="shared" si="121"/>
        <v>0</v>
      </c>
      <c r="J686" s="28">
        <f t="shared" si="122"/>
        <v>0</v>
      </c>
      <c r="K686" s="29">
        <f t="shared" si="123"/>
        <v>0</v>
      </c>
      <c r="L686" s="96"/>
      <c r="M686" s="86">
        <v>1</v>
      </c>
    </row>
    <row r="687" s="86" customFormat="1" ht="36" outlineLevel="2" spans="1:15">
      <c r="A687" s="103">
        <f t="shared" si="120"/>
        <v>8</v>
      </c>
      <c r="B687" s="98" t="s">
        <v>234</v>
      </c>
      <c r="C687" s="99" t="s">
        <v>235</v>
      </c>
      <c r="D687" s="105" t="s">
        <v>58</v>
      </c>
      <c r="E687" s="101">
        <f>(7.76*3+7.51)*0.095</f>
        <v>2.92505</v>
      </c>
      <c r="F687" s="101"/>
      <c r="G687" s="101"/>
      <c r="H687" s="101"/>
      <c r="I687" s="27">
        <f t="shared" si="121"/>
        <v>0</v>
      </c>
      <c r="J687" s="28">
        <f t="shared" si="122"/>
        <v>0</v>
      </c>
      <c r="K687" s="29">
        <f t="shared" si="123"/>
        <v>0</v>
      </c>
      <c r="L687" s="96"/>
      <c r="M687" s="86">
        <v>1</v>
      </c>
    </row>
    <row r="688" s="86" customFormat="1" ht="24" customHeight="1" outlineLevel="1" spans="1:15">
      <c r="A688" s="97"/>
      <c r="B688" s="98" t="s">
        <v>96</v>
      </c>
      <c r="C688" s="99"/>
      <c r="D688" s="100"/>
      <c r="E688" s="101"/>
      <c r="F688" s="101"/>
      <c r="G688" s="101"/>
      <c r="H688" s="101"/>
      <c r="I688" s="101"/>
      <c r="J688" s="101"/>
      <c r="K688" s="102"/>
      <c r="L688" s="96"/>
    </row>
    <row r="689" s="86" customFormat="1" ht="96" outlineLevel="2" spans="1:15">
      <c r="A689" s="103">
        <f>1+N(A688)</f>
        <v>1</v>
      </c>
      <c r="B689" s="98" t="s">
        <v>97</v>
      </c>
      <c r="C689" s="108" t="s">
        <v>98</v>
      </c>
      <c r="D689" s="100" t="s">
        <v>58</v>
      </c>
      <c r="E689" s="101">
        <v>106.1</v>
      </c>
      <c r="F689" s="101"/>
      <c r="G689" s="101"/>
      <c r="H689" s="101"/>
      <c r="I689" s="27">
        <f>(F689+G689+H689)*$I$3</f>
        <v>0</v>
      </c>
      <c r="J689" s="28">
        <f>ROUND(SUM(F689:I689),2)</f>
        <v>0</v>
      </c>
      <c r="K689" s="29">
        <f>ROUND(J689*E689,2)</f>
        <v>0</v>
      </c>
      <c r="L689" s="96"/>
      <c r="M689" s="86">
        <v>1</v>
      </c>
    </row>
    <row r="690" s="86" customFormat="1" ht="72" customHeight="1" outlineLevel="2" spans="1:15">
      <c r="A690" s="103">
        <f>1+N(A689)</f>
        <v>2</v>
      </c>
      <c r="B690" s="98" t="s">
        <v>99</v>
      </c>
      <c r="C690" s="99" t="s">
        <v>100</v>
      </c>
      <c r="D690" s="100" t="s">
        <v>65</v>
      </c>
      <c r="E690" s="101">
        <v>39.02</v>
      </c>
      <c r="F690" s="101"/>
      <c r="G690" s="101"/>
      <c r="H690" s="101"/>
      <c r="I690" s="27">
        <f>(F690+G690+H690)*$I$3</f>
        <v>0</v>
      </c>
      <c r="J690" s="28">
        <f>ROUND(SUM(F690:I690),2)</f>
        <v>0</v>
      </c>
      <c r="K690" s="29">
        <f>ROUND(J690*E690,2)</f>
        <v>0</v>
      </c>
      <c r="L690" s="96"/>
      <c r="M690" s="86">
        <v>1</v>
      </c>
    </row>
    <row r="691" s="86" customFormat="1" ht="72" customHeight="1" outlineLevel="2" spans="1:15">
      <c r="A691" s="103">
        <f>1+N(A690)</f>
        <v>3</v>
      </c>
      <c r="B691" s="98" t="s">
        <v>101</v>
      </c>
      <c r="C691" s="99" t="s">
        <v>102</v>
      </c>
      <c r="D691" s="100" t="s">
        <v>65</v>
      </c>
      <c r="E691" s="101">
        <v>39.02</v>
      </c>
      <c r="F691" s="101"/>
      <c r="G691" s="101"/>
      <c r="H691" s="101"/>
      <c r="I691" s="27">
        <f>(F691+G691+H691)*$I$3</f>
        <v>0</v>
      </c>
      <c r="J691" s="28">
        <f>ROUND(SUM(F691:I691),2)</f>
        <v>0</v>
      </c>
      <c r="K691" s="29">
        <f>ROUND(J691*E691,2)</f>
        <v>0</v>
      </c>
      <c r="L691" s="96"/>
      <c r="M691" s="86">
        <v>1</v>
      </c>
    </row>
    <row r="692" s="86" customFormat="1" ht="72" customHeight="1" outlineLevel="2" spans="1:15">
      <c r="A692" s="103">
        <f>1+N(A691)</f>
        <v>4</v>
      </c>
      <c r="B692" s="98" t="s">
        <v>103</v>
      </c>
      <c r="C692" s="99" t="s">
        <v>104</v>
      </c>
      <c r="D692" s="100" t="s">
        <v>65</v>
      </c>
      <c r="E692" s="101">
        <f>1.2*2*4</f>
        <v>9.6</v>
      </c>
      <c r="F692" s="101"/>
      <c r="G692" s="101"/>
      <c r="H692" s="101"/>
      <c r="I692" s="27">
        <f>(F692+G692+H692)*$I$3</f>
        <v>0</v>
      </c>
      <c r="J692" s="28">
        <f>ROUND(SUM(F692:I692),2)</f>
        <v>0</v>
      </c>
      <c r="K692" s="29">
        <f>ROUND(J692*E692,2)</f>
        <v>0</v>
      </c>
      <c r="L692" s="96"/>
      <c r="M692" s="86">
        <v>1</v>
      </c>
    </row>
    <row r="693" s="86" customFormat="1" ht="72" customHeight="1" outlineLevel="2" spans="1:15">
      <c r="A693" s="103">
        <f>1+N(A692)</f>
        <v>5</v>
      </c>
      <c r="B693" s="98" t="s">
        <v>105</v>
      </c>
      <c r="C693" s="99" t="s">
        <v>106</v>
      </c>
      <c r="D693" s="100" t="s">
        <v>58</v>
      </c>
      <c r="E693" s="101">
        <f>106.1+39.02*0.3</f>
        <v>117.806</v>
      </c>
      <c r="F693" s="101"/>
      <c r="G693" s="101"/>
      <c r="H693" s="101"/>
      <c r="I693" s="27">
        <f>(F693+G693+H693)*$I$3</f>
        <v>0</v>
      </c>
      <c r="J693" s="28">
        <f>ROUND(SUM(F693:I693),2)</f>
        <v>0</v>
      </c>
      <c r="K693" s="29">
        <f>ROUND(J693*E693,2)</f>
        <v>0</v>
      </c>
      <c r="L693" s="96"/>
      <c r="M693" s="86">
        <v>1</v>
      </c>
    </row>
    <row r="694" s="86" customFormat="1" ht="24" customHeight="1" outlineLevel="1" spans="1:15">
      <c r="A694" s="97"/>
      <c r="B694" s="98" t="s">
        <v>107</v>
      </c>
      <c r="C694" s="99"/>
      <c r="D694" s="100"/>
      <c r="E694" s="101"/>
      <c r="F694" s="101"/>
      <c r="G694" s="101"/>
      <c r="H694" s="101"/>
      <c r="I694" s="101"/>
      <c r="J694" s="101"/>
      <c r="K694" s="102"/>
      <c r="L694" s="96"/>
    </row>
    <row r="695" s="86" customFormat="1" ht="60" outlineLevel="2" spans="1:15">
      <c r="A695" s="103">
        <f>1+N(A694)</f>
        <v>1</v>
      </c>
      <c r="B695" s="98" t="s">
        <v>347</v>
      </c>
      <c r="C695" s="99" t="s">
        <v>325</v>
      </c>
      <c r="D695" s="100" t="s">
        <v>58</v>
      </c>
      <c r="E695" s="101">
        <f>1.86*3.2</f>
        <v>5.952</v>
      </c>
      <c r="F695" s="101"/>
      <c r="G695" s="101"/>
      <c r="H695" s="101"/>
      <c r="I695" s="27">
        <f>(F695+G695+H695)*$I$3</f>
        <v>0</v>
      </c>
      <c r="J695" s="28">
        <f>ROUND(SUM(F695:I695),2)</f>
        <v>0</v>
      </c>
      <c r="K695" s="29">
        <f>ROUND(J695*E695,2)</f>
        <v>0</v>
      </c>
      <c r="L695" s="96"/>
      <c r="M695" s="86">
        <v>1</v>
      </c>
    </row>
    <row r="696" s="86" customFormat="1" ht="60" outlineLevel="2" spans="1:15">
      <c r="A696" s="103">
        <f>1+N(A695)</f>
        <v>2</v>
      </c>
      <c r="B696" s="98" t="s">
        <v>348</v>
      </c>
      <c r="C696" s="99" t="s">
        <v>325</v>
      </c>
      <c r="D696" s="100" t="s">
        <v>58</v>
      </c>
      <c r="E696" s="101">
        <f>2.77*3.2</f>
        <v>8.864</v>
      </c>
      <c r="F696" s="101"/>
      <c r="G696" s="101"/>
      <c r="H696" s="101"/>
      <c r="I696" s="27">
        <f>(F696+G696+H696)*$I$3</f>
        <v>0</v>
      </c>
      <c r="J696" s="28">
        <f>ROUND(SUM(F696:I696),2)</f>
        <v>0</v>
      </c>
      <c r="K696" s="29">
        <f>ROUND(J696*E696,2)</f>
        <v>0</v>
      </c>
      <c r="L696" s="96"/>
      <c r="M696" s="86">
        <v>1</v>
      </c>
    </row>
    <row r="697" s="86" customFormat="1" ht="48" outlineLevel="2" spans="1:15">
      <c r="A697" s="103">
        <f>1+N(A696)</f>
        <v>3</v>
      </c>
      <c r="B697" s="98" t="s">
        <v>132</v>
      </c>
      <c r="C697" s="99" t="s">
        <v>133</v>
      </c>
      <c r="D697" s="100" t="s">
        <v>58</v>
      </c>
      <c r="E697" s="101">
        <f>4*0.8*3.2</f>
        <v>10.24</v>
      </c>
      <c r="F697" s="101"/>
      <c r="G697" s="101"/>
      <c r="H697" s="101"/>
      <c r="I697" s="27">
        <f>(F697+G697+H697)*$I$3</f>
        <v>0</v>
      </c>
      <c r="J697" s="28">
        <f>ROUND(SUM(F697:I697),2)</f>
        <v>0</v>
      </c>
      <c r="K697" s="29">
        <f>ROUND(J697*E697,2)</f>
        <v>0</v>
      </c>
      <c r="L697" s="96"/>
      <c r="M697" s="86">
        <v>1</v>
      </c>
    </row>
    <row r="698" s="86" customFormat="1" ht="24" customHeight="1" outlineLevel="1" spans="1:15">
      <c r="A698" s="92" t="s">
        <v>349</v>
      </c>
      <c r="B698" s="93" t="s">
        <v>350</v>
      </c>
      <c r="C698" s="119"/>
      <c r="D698" s="94"/>
      <c r="E698" s="95"/>
      <c r="F698" s="95"/>
      <c r="G698" s="95"/>
      <c r="H698" s="95"/>
      <c r="I698" s="95"/>
      <c r="J698" s="95"/>
      <c r="K698" s="23"/>
      <c r="L698" s="96"/>
      <c r="O698" s="86" t="str">
        <f>_xlfn.DISPIMG("ID_589CA08F212B437D95718DE5C13512ED",1)</f>
        <v>=DISPIMG("ID_589CA08F212B437D95718DE5C13512ED",1)</v>
      </c>
    </row>
    <row r="699" s="86" customFormat="1" ht="24" customHeight="1" outlineLevel="1" spans="1:15">
      <c r="A699" s="97"/>
      <c r="B699" s="98" t="s">
        <v>55</v>
      </c>
      <c r="C699" s="99"/>
      <c r="D699" s="100"/>
      <c r="E699" s="101"/>
      <c r="F699" s="101"/>
      <c r="G699" s="101"/>
      <c r="H699" s="101"/>
      <c r="I699" s="101"/>
      <c r="J699" s="101"/>
      <c r="K699" s="102"/>
      <c r="L699" s="96"/>
    </row>
    <row r="700" s="86" customFormat="1" ht="96" outlineLevel="2" spans="1:15">
      <c r="A700" s="103">
        <f>1+N(A699)</f>
        <v>1</v>
      </c>
      <c r="B700" s="98" t="s">
        <v>56</v>
      </c>
      <c r="C700" s="99" t="s">
        <v>57</v>
      </c>
      <c r="D700" s="100" t="s">
        <v>58</v>
      </c>
      <c r="E700" s="101">
        <v>1.38</v>
      </c>
      <c r="F700" s="101"/>
      <c r="G700" s="101"/>
      <c r="H700" s="27"/>
      <c r="I700" s="27">
        <f>(F700+G700+H700)*$I$3</f>
        <v>0</v>
      </c>
      <c r="J700" s="28">
        <f>ROUND(SUM(F700:I700),2)</f>
        <v>0</v>
      </c>
      <c r="K700" s="29">
        <f>ROUND(J700*E700,2)</f>
        <v>0</v>
      </c>
      <c r="L700" s="96"/>
      <c r="M700" s="86">
        <v>1</v>
      </c>
    </row>
    <row r="701" s="86" customFormat="1" ht="96" outlineLevel="2" spans="1:15">
      <c r="A701" s="103">
        <f>1+N(A700)</f>
        <v>2</v>
      </c>
      <c r="B701" s="98" t="s">
        <v>215</v>
      </c>
      <c r="C701" s="99" t="s">
        <v>216</v>
      </c>
      <c r="D701" s="100" t="s">
        <v>58</v>
      </c>
      <c r="E701" s="101">
        <v>42.13</v>
      </c>
      <c r="F701" s="101"/>
      <c r="G701" s="101"/>
      <c r="H701" s="27"/>
      <c r="I701" s="27">
        <f>(F701+G701+H701)*$I$3</f>
        <v>0</v>
      </c>
      <c r="J701" s="28">
        <f>ROUND(SUM(F701:I701),2)</f>
        <v>0</v>
      </c>
      <c r="K701" s="29">
        <f>ROUND(J701*E701,2)</f>
        <v>0</v>
      </c>
      <c r="L701" s="96"/>
      <c r="M701" s="86">
        <v>1</v>
      </c>
    </row>
    <row r="702" s="86" customFormat="1" ht="36" outlineLevel="2" spans="1:15">
      <c r="A702" s="103">
        <f>1+N(A701)</f>
        <v>3</v>
      </c>
      <c r="B702" s="98" t="s">
        <v>63</v>
      </c>
      <c r="C702" s="99" t="s">
        <v>64</v>
      </c>
      <c r="D702" s="100" t="s">
        <v>65</v>
      </c>
      <c r="E702" s="101">
        <v>48.4</v>
      </c>
      <c r="F702" s="101"/>
      <c r="G702" s="101"/>
      <c r="H702" s="101"/>
      <c r="I702" s="27">
        <f>(F702+G702+H702)*$I$3</f>
        <v>0</v>
      </c>
      <c r="J702" s="28">
        <f>ROUND(SUM(F702:I702),2)</f>
        <v>0</v>
      </c>
      <c r="K702" s="29">
        <f>ROUND(J702*E702,2)</f>
        <v>0</v>
      </c>
      <c r="L702" s="96"/>
      <c r="M702" s="86">
        <v>1</v>
      </c>
    </row>
    <row r="703" s="86" customFormat="1" ht="24" customHeight="1" outlineLevel="1" spans="1:15">
      <c r="A703" s="97"/>
      <c r="B703" s="98" t="s">
        <v>68</v>
      </c>
      <c r="C703" s="99"/>
      <c r="D703" s="100"/>
      <c r="E703" s="101"/>
      <c r="F703" s="101"/>
      <c r="G703" s="101"/>
      <c r="H703" s="101"/>
      <c r="I703" s="101"/>
      <c r="J703" s="101"/>
      <c r="K703" s="102"/>
      <c r="L703" s="96"/>
    </row>
    <row r="704" s="86" customFormat="1" ht="96" outlineLevel="2" spans="1:15">
      <c r="A704" s="103">
        <f t="shared" ref="A704:A709" si="124">1+N(A703)</f>
        <v>1</v>
      </c>
      <c r="B704" s="104" t="s">
        <v>71</v>
      </c>
      <c r="C704" s="99" t="s">
        <v>253</v>
      </c>
      <c r="D704" s="100" t="s">
        <v>58</v>
      </c>
      <c r="E704" s="101">
        <v>1.055</v>
      </c>
      <c r="F704" s="101"/>
      <c r="G704" s="101"/>
      <c r="H704" s="101"/>
      <c r="I704" s="27">
        <f t="shared" ref="I704:I709" si="125">(F704+G704+H704)*$I$3</f>
        <v>0</v>
      </c>
      <c r="J704" s="28">
        <f t="shared" ref="J704:J709" si="126">ROUND(SUM(F704:I704),2)</f>
        <v>0</v>
      </c>
      <c r="K704" s="29">
        <f t="shared" ref="K704:K709" si="127">ROUND(J704*E704,2)</f>
        <v>0</v>
      </c>
      <c r="L704" s="96"/>
      <c r="M704" s="86">
        <v>1</v>
      </c>
    </row>
    <row r="705" s="86" customFormat="1" ht="96" outlineLevel="2" spans="1:15">
      <c r="A705" s="103">
        <f t="shared" si="124"/>
        <v>2</v>
      </c>
      <c r="B705" s="98" t="s">
        <v>73</v>
      </c>
      <c r="C705" s="99" t="s">
        <v>254</v>
      </c>
      <c r="D705" s="100" t="s">
        <v>58</v>
      </c>
      <c r="E705" s="101">
        <v>1.058</v>
      </c>
      <c r="F705" s="101"/>
      <c r="G705" s="101"/>
      <c r="H705" s="101"/>
      <c r="I705" s="27">
        <f t="shared" si="125"/>
        <v>0</v>
      </c>
      <c r="J705" s="28">
        <f t="shared" si="126"/>
        <v>0</v>
      </c>
      <c r="K705" s="29">
        <f t="shared" si="127"/>
        <v>0</v>
      </c>
      <c r="L705" s="96"/>
      <c r="M705" s="86">
        <v>1</v>
      </c>
    </row>
    <row r="706" s="86" customFormat="1" ht="96" outlineLevel="2" spans="1:15">
      <c r="A706" s="103">
        <f t="shared" si="124"/>
        <v>3</v>
      </c>
      <c r="B706" s="104" t="s">
        <v>339</v>
      </c>
      <c r="C706" s="99" t="s">
        <v>340</v>
      </c>
      <c r="D706" s="100" t="s">
        <v>58</v>
      </c>
      <c r="E706" s="101">
        <v>16.267</v>
      </c>
      <c r="F706" s="101"/>
      <c r="G706" s="101"/>
      <c r="H706" s="101"/>
      <c r="I706" s="27">
        <f t="shared" si="125"/>
        <v>0</v>
      </c>
      <c r="J706" s="28">
        <f t="shared" si="126"/>
        <v>0</v>
      </c>
      <c r="K706" s="29">
        <f t="shared" si="127"/>
        <v>0</v>
      </c>
      <c r="L706" s="96"/>
      <c r="M706" s="86">
        <v>1</v>
      </c>
    </row>
    <row r="707" s="86" customFormat="1" ht="60" outlineLevel="2" spans="1:15">
      <c r="A707" s="103">
        <f t="shared" si="124"/>
        <v>4</v>
      </c>
      <c r="B707" s="98" t="s">
        <v>255</v>
      </c>
      <c r="C707" s="99" t="s">
        <v>256</v>
      </c>
      <c r="D707" s="100" t="s">
        <v>58</v>
      </c>
      <c r="E707" s="101">
        <v>35.512</v>
      </c>
      <c r="F707" s="101"/>
      <c r="G707" s="101"/>
      <c r="H707" s="101"/>
      <c r="I707" s="27">
        <f t="shared" si="125"/>
        <v>0</v>
      </c>
      <c r="J707" s="28">
        <f t="shared" si="126"/>
        <v>0</v>
      </c>
      <c r="K707" s="29">
        <f t="shared" si="127"/>
        <v>0</v>
      </c>
      <c r="L707" s="96"/>
      <c r="M707" s="86">
        <v>1</v>
      </c>
    </row>
    <row r="708" s="86" customFormat="1" ht="36" outlineLevel="2" spans="1:15">
      <c r="A708" s="103">
        <f t="shared" si="124"/>
        <v>5</v>
      </c>
      <c r="B708" s="98" t="s">
        <v>341</v>
      </c>
      <c r="C708" s="99" t="s">
        <v>342</v>
      </c>
      <c r="D708" s="100" t="s">
        <v>58</v>
      </c>
      <c r="E708" s="101">
        <v>67.623</v>
      </c>
      <c r="F708" s="101"/>
      <c r="G708" s="101"/>
      <c r="H708" s="101"/>
      <c r="I708" s="27">
        <f t="shared" si="125"/>
        <v>0</v>
      </c>
      <c r="J708" s="28">
        <f t="shared" si="126"/>
        <v>0</v>
      </c>
      <c r="K708" s="29">
        <f t="shared" si="127"/>
        <v>0</v>
      </c>
      <c r="L708" s="96"/>
      <c r="M708" s="86">
        <v>1</v>
      </c>
    </row>
    <row r="709" s="86" customFormat="1" ht="48" outlineLevel="2" spans="1:15">
      <c r="A709" s="103">
        <f t="shared" si="124"/>
        <v>6</v>
      </c>
      <c r="B709" s="98" t="s">
        <v>86</v>
      </c>
      <c r="C709" s="99" t="s">
        <v>87</v>
      </c>
      <c r="D709" s="100" t="s">
        <v>65</v>
      </c>
      <c r="E709" s="101">
        <v>35.562</v>
      </c>
      <c r="F709" s="101"/>
      <c r="G709" s="101"/>
      <c r="H709" s="101"/>
      <c r="I709" s="27">
        <f t="shared" si="125"/>
        <v>0</v>
      </c>
      <c r="J709" s="28">
        <f t="shared" si="126"/>
        <v>0</v>
      </c>
      <c r="K709" s="29">
        <f t="shared" si="127"/>
        <v>0</v>
      </c>
      <c r="L709" s="96"/>
      <c r="M709" s="86">
        <v>1</v>
      </c>
    </row>
    <row r="710" s="86" customFormat="1" ht="24" customHeight="1" outlineLevel="1" spans="1:15">
      <c r="A710" s="97"/>
      <c r="B710" s="98" t="s">
        <v>96</v>
      </c>
      <c r="C710" s="99"/>
      <c r="D710" s="100"/>
      <c r="E710" s="101"/>
      <c r="F710" s="101"/>
      <c r="G710" s="101"/>
      <c r="H710" s="101"/>
      <c r="I710" s="101"/>
      <c r="J710" s="101"/>
      <c r="K710" s="102"/>
      <c r="L710" s="96"/>
    </row>
    <row r="711" s="86" customFormat="1" ht="96" outlineLevel="2" spans="1:15">
      <c r="A711" s="103">
        <f>1+N(A710)</f>
        <v>1</v>
      </c>
      <c r="B711" s="98" t="s">
        <v>97</v>
      </c>
      <c r="C711" s="108" t="s">
        <v>98</v>
      </c>
      <c r="D711" s="100" t="s">
        <v>58</v>
      </c>
      <c r="E711" s="101">
        <v>42.13</v>
      </c>
      <c r="F711" s="101"/>
      <c r="G711" s="101"/>
      <c r="H711" s="101"/>
      <c r="I711" s="27">
        <f>(F711+G711+H711)*$I$3</f>
        <v>0</v>
      </c>
      <c r="J711" s="28">
        <f>ROUND(SUM(F711:I711),2)</f>
        <v>0</v>
      </c>
      <c r="K711" s="29">
        <f>ROUND(J711*E711,2)</f>
        <v>0</v>
      </c>
      <c r="L711" s="96"/>
      <c r="M711" s="86">
        <v>1</v>
      </c>
    </row>
    <row r="712" s="86" customFormat="1" ht="72" customHeight="1" outlineLevel="2" spans="1:15">
      <c r="A712" s="103">
        <f>1+N(A711)</f>
        <v>2</v>
      </c>
      <c r="B712" s="98" t="s">
        <v>261</v>
      </c>
      <c r="C712" s="99" t="s">
        <v>262</v>
      </c>
      <c r="D712" s="100" t="s">
        <v>58</v>
      </c>
      <c r="E712" s="101">
        <v>7.33</v>
      </c>
      <c r="F712" s="101"/>
      <c r="G712" s="101"/>
      <c r="H712" s="101"/>
      <c r="I712" s="27">
        <f>(F712+G712+H712)*$I$3</f>
        <v>0</v>
      </c>
      <c r="J712" s="28">
        <f>ROUND(SUM(F712:I712),2)</f>
        <v>0</v>
      </c>
      <c r="K712" s="29">
        <f>ROUND(J712*E712,2)</f>
        <v>0</v>
      </c>
      <c r="L712" s="96"/>
      <c r="M712" s="86">
        <v>1</v>
      </c>
    </row>
    <row r="713" s="86" customFormat="1" ht="72" customHeight="1" outlineLevel="2" spans="1:15">
      <c r="A713" s="103">
        <f>1+N(A712)</f>
        <v>3</v>
      </c>
      <c r="B713" s="98" t="s">
        <v>103</v>
      </c>
      <c r="C713" s="99" t="s">
        <v>104</v>
      </c>
      <c r="D713" s="100" t="s">
        <v>65</v>
      </c>
      <c r="E713" s="101">
        <v>10.4</v>
      </c>
      <c r="F713" s="101"/>
      <c r="G713" s="101"/>
      <c r="H713" s="101"/>
      <c r="I713" s="27">
        <f>(F713+G713+H713)*$I$3</f>
        <v>0</v>
      </c>
      <c r="J713" s="28">
        <f>ROUND(SUM(F713:I713),2)</f>
        <v>0</v>
      </c>
      <c r="K713" s="29">
        <f>ROUND(J713*E713,2)</f>
        <v>0</v>
      </c>
      <c r="L713" s="96"/>
      <c r="M713" s="86">
        <v>1</v>
      </c>
    </row>
    <row r="714" s="86" customFormat="1" ht="72" customHeight="1" outlineLevel="2" spans="1:15">
      <c r="A714" s="103">
        <f>1+N(A713)</f>
        <v>4</v>
      </c>
      <c r="B714" s="98" t="s">
        <v>105</v>
      </c>
      <c r="C714" s="99" t="s">
        <v>106</v>
      </c>
      <c r="D714" s="100" t="s">
        <v>58</v>
      </c>
      <c r="E714" s="101">
        <v>42.13</v>
      </c>
      <c r="F714" s="101"/>
      <c r="G714" s="101"/>
      <c r="H714" s="101"/>
      <c r="I714" s="27">
        <f>(F714+G714+H714)*$I$3</f>
        <v>0</v>
      </c>
      <c r="J714" s="28">
        <f>ROUND(SUM(F714:I714),2)</f>
        <v>0</v>
      </c>
      <c r="K714" s="29">
        <f>ROUND(J714*E714,2)</f>
        <v>0</v>
      </c>
      <c r="L714" s="96"/>
      <c r="M714" s="86">
        <v>1</v>
      </c>
    </row>
    <row r="715" s="86" customFormat="1" ht="72" customHeight="1" outlineLevel="2" spans="1:15">
      <c r="A715" s="103">
        <f>1+N(A714)</f>
        <v>5</v>
      </c>
      <c r="B715" s="98" t="s">
        <v>265</v>
      </c>
      <c r="C715" s="99" t="s">
        <v>266</v>
      </c>
      <c r="D715" s="100" t="s">
        <v>58</v>
      </c>
      <c r="E715" s="101">
        <v>7.33</v>
      </c>
      <c r="F715" s="101"/>
      <c r="G715" s="101"/>
      <c r="H715" s="101"/>
      <c r="I715" s="27">
        <f>(F715+G715+H715)*$I$3</f>
        <v>0</v>
      </c>
      <c r="J715" s="28">
        <f>ROUND(SUM(F715:I715),2)</f>
        <v>0</v>
      </c>
      <c r="K715" s="29">
        <f>ROUND(J715*E715,2)</f>
        <v>0</v>
      </c>
      <c r="L715" s="96"/>
      <c r="M715" s="86">
        <v>1</v>
      </c>
    </row>
    <row r="716" s="86" customFormat="1" ht="24" customHeight="1" outlineLevel="1" spans="1:15">
      <c r="A716" s="97"/>
      <c r="B716" s="98" t="s">
        <v>107</v>
      </c>
      <c r="C716" s="99"/>
      <c r="D716" s="100"/>
      <c r="E716" s="101"/>
      <c r="F716" s="101"/>
      <c r="G716" s="101"/>
      <c r="H716" s="101"/>
      <c r="I716" s="101"/>
      <c r="J716" s="101"/>
      <c r="K716" s="102"/>
      <c r="L716" s="96"/>
    </row>
    <row r="717" s="86" customFormat="1" ht="72" customHeight="1" outlineLevel="2" spans="1:15">
      <c r="A717" s="103">
        <f>1+N(A716)</f>
        <v>1</v>
      </c>
      <c r="B717" s="98" t="s">
        <v>121</v>
      </c>
      <c r="C717" s="99" t="s">
        <v>109</v>
      </c>
      <c r="D717" s="100" t="s">
        <v>58</v>
      </c>
      <c r="E717" s="101">
        <f>0.8*3.4</f>
        <v>2.72</v>
      </c>
      <c r="F717" s="101"/>
      <c r="G717" s="101"/>
      <c r="H717" s="101"/>
      <c r="I717" s="27">
        <f>(F717+G717+H717)*$I$3</f>
        <v>0</v>
      </c>
      <c r="J717" s="28">
        <f>ROUND(SUM(F717:I717),2)</f>
        <v>0</v>
      </c>
      <c r="K717" s="29">
        <f>ROUND(J717*E717,2)</f>
        <v>0</v>
      </c>
      <c r="L717" s="96"/>
      <c r="M717" s="86">
        <v>1</v>
      </c>
    </row>
    <row r="718" s="86" customFormat="1" ht="24" customHeight="1" outlineLevel="1" spans="1:15">
      <c r="A718" s="92" t="s">
        <v>351</v>
      </c>
      <c r="B718" s="93" t="s">
        <v>352</v>
      </c>
      <c r="C718" s="119"/>
      <c r="D718" s="94"/>
      <c r="E718" s="95"/>
      <c r="F718" s="95"/>
      <c r="G718" s="95"/>
      <c r="H718" s="95"/>
      <c r="I718" s="95"/>
      <c r="J718" s="95"/>
      <c r="K718" s="23"/>
      <c r="L718" s="96"/>
      <c r="O718" s="86" t="str">
        <f>_xlfn.DISPIMG("ID_0E7C8EE907394257A9628C85485B294C",1)</f>
        <v>=DISPIMG("ID_0E7C8EE907394257A9628C85485B294C",1)</v>
      </c>
    </row>
    <row r="719" s="86" customFormat="1" ht="24" customHeight="1" outlineLevel="1" spans="1:15">
      <c r="A719" s="97"/>
      <c r="B719" s="98" t="s">
        <v>55</v>
      </c>
      <c r="C719" s="99"/>
      <c r="D719" s="100"/>
      <c r="E719" s="101"/>
      <c r="F719" s="101"/>
      <c r="G719" s="101"/>
      <c r="H719" s="101"/>
      <c r="I719" s="101"/>
      <c r="J719" s="101"/>
      <c r="K719" s="102"/>
      <c r="L719" s="96"/>
    </row>
    <row r="720" s="86" customFormat="1" ht="96" outlineLevel="2" spans="1:15">
      <c r="A720" s="103">
        <f>1+N(A719)</f>
        <v>1</v>
      </c>
      <c r="B720" s="98" t="s">
        <v>275</v>
      </c>
      <c r="C720" s="99" t="s">
        <v>276</v>
      </c>
      <c r="D720" s="100" t="s">
        <v>58</v>
      </c>
      <c r="E720" s="101">
        <v>20.55</v>
      </c>
      <c r="F720" s="101"/>
      <c r="G720" s="101"/>
      <c r="H720" s="27"/>
      <c r="I720" s="27">
        <f>(F720+G720+H720)*$I$3</f>
        <v>0</v>
      </c>
      <c r="J720" s="28">
        <f>ROUND(SUM(F720:I720),2)</f>
        <v>0</v>
      </c>
      <c r="K720" s="29">
        <f>ROUND(J720*E720,2)</f>
        <v>0</v>
      </c>
      <c r="L720" s="96"/>
      <c r="M720" s="86">
        <v>1</v>
      </c>
    </row>
    <row r="721" s="86" customFormat="1" ht="96" outlineLevel="2" spans="1:15">
      <c r="A721" s="103">
        <f>1+N(A720)</f>
        <v>2</v>
      </c>
      <c r="B721" s="98" t="s">
        <v>61</v>
      </c>
      <c r="C721" s="99" t="s">
        <v>62</v>
      </c>
      <c r="D721" s="100" t="s">
        <v>58</v>
      </c>
      <c r="E721" s="101">
        <v>3.52</v>
      </c>
      <c r="F721" s="101"/>
      <c r="G721" s="101"/>
      <c r="H721" s="27"/>
      <c r="I721" s="27">
        <f>(F721+G721+H721)*$I$3</f>
        <v>0</v>
      </c>
      <c r="J721" s="28">
        <f>ROUND(SUM(F721:I721),2)</f>
        <v>0</v>
      </c>
      <c r="K721" s="29">
        <f>ROUND(J721*E721,2)</f>
        <v>0</v>
      </c>
      <c r="L721" s="96"/>
      <c r="M721" s="86">
        <v>1</v>
      </c>
    </row>
    <row r="722" s="86" customFormat="1" ht="24" customHeight="1" outlineLevel="1" spans="1:15">
      <c r="A722" s="97"/>
      <c r="B722" s="98" t="s">
        <v>68</v>
      </c>
      <c r="C722" s="99"/>
      <c r="D722" s="100"/>
      <c r="E722" s="101"/>
      <c r="F722" s="101"/>
      <c r="G722" s="101"/>
      <c r="H722" s="101"/>
      <c r="I722" s="101"/>
      <c r="J722" s="101"/>
      <c r="K722" s="102"/>
      <c r="L722" s="96"/>
    </row>
    <row r="723" s="86" customFormat="1" ht="60" customHeight="1" outlineLevel="2" spans="1:15">
      <c r="A723" s="103">
        <f>1+N(A722)</f>
        <v>1</v>
      </c>
      <c r="B723" s="104" t="s">
        <v>75</v>
      </c>
      <c r="C723" s="99" t="s">
        <v>76</v>
      </c>
      <c r="D723" s="100" t="s">
        <v>58</v>
      </c>
      <c r="E723" s="101">
        <v>21.526</v>
      </c>
      <c r="F723" s="101"/>
      <c r="G723" s="101"/>
      <c r="H723" s="101"/>
      <c r="I723" s="27">
        <f>(F723+G723+H723)*$I$3</f>
        <v>0</v>
      </c>
      <c r="J723" s="28">
        <f>ROUND(SUM(F723:I723),2)</f>
        <v>0</v>
      </c>
      <c r="K723" s="29">
        <f>ROUND(J723*E723,2)</f>
        <v>0</v>
      </c>
      <c r="L723" s="96"/>
      <c r="M723" s="86">
        <v>1</v>
      </c>
    </row>
    <row r="724" s="86" customFormat="1" ht="60" customHeight="1" outlineLevel="2" spans="1:15">
      <c r="A724" s="103">
        <f>1+N(A723)</f>
        <v>2</v>
      </c>
      <c r="B724" s="98" t="s">
        <v>84</v>
      </c>
      <c r="C724" s="99" t="s">
        <v>85</v>
      </c>
      <c r="D724" s="100" t="s">
        <v>58</v>
      </c>
      <c r="E724" s="101">
        <v>0.321</v>
      </c>
      <c r="F724" s="101"/>
      <c r="G724" s="101"/>
      <c r="H724" s="101"/>
      <c r="I724" s="27">
        <f>(F724+G724+H724)*$I$3</f>
        <v>0</v>
      </c>
      <c r="J724" s="28">
        <f>ROUND(SUM(F724:I724),2)</f>
        <v>0</v>
      </c>
      <c r="K724" s="29">
        <f>ROUND(J724*E724,2)</f>
        <v>0</v>
      </c>
      <c r="L724" s="96"/>
      <c r="M724" s="86">
        <v>1</v>
      </c>
    </row>
    <row r="725" s="86" customFormat="1" ht="60" customHeight="1" outlineLevel="2" spans="1:15">
      <c r="A725" s="103">
        <f>1+N(A724)</f>
        <v>3</v>
      </c>
      <c r="B725" s="98" t="s">
        <v>77</v>
      </c>
      <c r="C725" s="99" t="s">
        <v>78</v>
      </c>
      <c r="D725" s="100" t="s">
        <v>58</v>
      </c>
      <c r="E725" s="101">
        <f>0.29*3.4+0.275*1.2</f>
        <v>1.316</v>
      </c>
      <c r="F725" s="101"/>
      <c r="G725" s="101"/>
      <c r="H725" s="101"/>
      <c r="I725" s="27">
        <f>(F725+G725+H725)*$I$3</f>
        <v>0</v>
      </c>
      <c r="J725" s="28">
        <f>ROUND(SUM(F725:I725),2)</f>
        <v>0</v>
      </c>
      <c r="K725" s="29">
        <f>ROUND(J725*E725,2)</f>
        <v>0</v>
      </c>
      <c r="L725" s="96"/>
      <c r="M725" s="86">
        <v>1</v>
      </c>
    </row>
    <row r="726" s="86" customFormat="1" ht="24" customHeight="1" outlineLevel="1" spans="1:15">
      <c r="A726" s="97"/>
      <c r="B726" s="98" t="s">
        <v>96</v>
      </c>
      <c r="C726" s="99"/>
      <c r="D726" s="100"/>
      <c r="E726" s="101"/>
      <c r="F726" s="101"/>
      <c r="G726" s="101"/>
      <c r="H726" s="101"/>
      <c r="I726" s="101"/>
      <c r="J726" s="101"/>
      <c r="K726" s="102"/>
      <c r="L726" s="96"/>
    </row>
    <row r="727" s="86" customFormat="1" ht="72" customHeight="1" outlineLevel="2" spans="1:15">
      <c r="A727" s="103">
        <f>1+N(A726)</f>
        <v>1</v>
      </c>
      <c r="B727" s="98" t="s">
        <v>277</v>
      </c>
      <c r="C727" s="99" t="s">
        <v>278</v>
      </c>
      <c r="D727" s="100" t="s">
        <v>58</v>
      </c>
      <c r="E727" s="101">
        <f>20.55+3.52</f>
        <v>24.07</v>
      </c>
      <c r="F727" s="101"/>
      <c r="G727" s="101"/>
      <c r="H727" s="101"/>
      <c r="I727" s="27">
        <f>(F727+G727+H727)*$I$3</f>
        <v>0</v>
      </c>
      <c r="J727" s="28">
        <f>ROUND(SUM(F727:I727),2)</f>
        <v>0</v>
      </c>
      <c r="K727" s="29">
        <f>ROUND(J727*E727,2)</f>
        <v>0</v>
      </c>
      <c r="L727" s="96"/>
      <c r="M727" s="86">
        <v>1</v>
      </c>
    </row>
    <row r="728" s="86" customFormat="1" ht="24" customHeight="1" outlineLevel="1" spans="1:15">
      <c r="A728" s="97"/>
      <c r="B728" s="98" t="s">
        <v>107</v>
      </c>
      <c r="C728" s="99"/>
      <c r="D728" s="100"/>
      <c r="E728" s="101"/>
      <c r="F728" s="101"/>
      <c r="G728" s="101"/>
      <c r="H728" s="101"/>
      <c r="I728" s="101"/>
      <c r="J728" s="101"/>
      <c r="K728" s="102"/>
      <c r="L728" s="96"/>
    </row>
    <row r="729" s="86" customFormat="1" ht="24" customHeight="1" outlineLevel="1" spans="1:15">
      <c r="A729" s="92" t="s">
        <v>353</v>
      </c>
      <c r="B729" s="93" t="s">
        <v>354</v>
      </c>
      <c r="C729" s="119"/>
      <c r="D729" s="94"/>
      <c r="E729" s="95"/>
      <c r="F729" s="95"/>
      <c r="G729" s="95"/>
      <c r="H729" s="95"/>
      <c r="I729" s="95"/>
      <c r="J729" s="95"/>
      <c r="K729" s="23"/>
      <c r="L729" s="96"/>
      <c r="O729" s="86" t="str">
        <f>_xlfn.DISPIMG("ID_3637BC63980E47D5800ED572B8F2992E",1)</f>
        <v>=DISPIMG("ID_3637BC63980E47D5800ED572B8F2992E",1)</v>
      </c>
    </row>
    <row r="730" s="86" customFormat="1" ht="24" customHeight="1" outlineLevel="1" spans="1:15">
      <c r="A730" s="97"/>
      <c r="B730" s="98" t="s">
        <v>55</v>
      </c>
      <c r="C730" s="99"/>
      <c r="D730" s="100"/>
      <c r="E730" s="101"/>
      <c r="F730" s="101"/>
      <c r="G730" s="101"/>
      <c r="H730" s="101"/>
      <c r="I730" s="101"/>
      <c r="J730" s="101"/>
      <c r="K730" s="102"/>
      <c r="L730" s="96"/>
    </row>
    <row r="731" s="86" customFormat="1" ht="96" outlineLevel="2" spans="1:15">
      <c r="A731" s="103">
        <f t="shared" ref="A731:A736" si="128">1+N(A730)</f>
        <v>1</v>
      </c>
      <c r="B731" s="98" t="s">
        <v>56</v>
      </c>
      <c r="C731" s="99" t="s">
        <v>57</v>
      </c>
      <c r="D731" s="100" t="s">
        <v>58</v>
      </c>
      <c r="E731" s="101">
        <v>9.6</v>
      </c>
      <c r="F731" s="101"/>
      <c r="G731" s="101"/>
      <c r="H731" s="27"/>
      <c r="I731" s="27">
        <f t="shared" ref="I731:I736" si="129">(F731+G731+H731)*$I$3</f>
        <v>0</v>
      </c>
      <c r="J731" s="28">
        <f t="shared" ref="J731:J736" si="130">ROUND(SUM(F731:I731),2)</f>
        <v>0</v>
      </c>
      <c r="K731" s="29">
        <f t="shared" ref="K731:K736" si="131">ROUND(J731*E731,2)</f>
        <v>0</v>
      </c>
      <c r="L731" s="96"/>
      <c r="M731" s="86">
        <v>1</v>
      </c>
    </row>
    <row r="732" s="86" customFormat="1" ht="96" outlineLevel="2" spans="1:15">
      <c r="A732" s="103">
        <f t="shared" si="128"/>
        <v>2</v>
      </c>
      <c r="B732" s="98" t="s">
        <v>215</v>
      </c>
      <c r="C732" s="99" t="s">
        <v>216</v>
      </c>
      <c r="D732" s="100" t="s">
        <v>58</v>
      </c>
      <c r="E732" s="101">
        <v>2.65</v>
      </c>
      <c r="F732" s="101"/>
      <c r="G732" s="101"/>
      <c r="H732" s="27"/>
      <c r="I732" s="27">
        <f t="shared" si="129"/>
        <v>0</v>
      </c>
      <c r="J732" s="28">
        <f t="shared" si="130"/>
        <v>0</v>
      </c>
      <c r="K732" s="29">
        <f t="shared" si="131"/>
        <v>0</v>
      </c>
      <c r="L732" s="96"/>
      <c r="M732" s="86">
        <v>1</v>
      </c>
    </row>
    <row r="733" s="86" customFormat="1" ht="72" outlineLevel="2" spans="1:15">
      <c r="A733" s="103">
        <f t="shared" si="128"/>
        <v>3</v>
      </c>
      <c r="B733" s="98" t="s">
        <v>320</v>
      </c>
      <c r="C733" s="99" t="s">
        <v>321</v>
      </c>
      <c r="D733" s="100" t="s">
        <v>58</v>
      </c>
      <c r="E733" s="101">
        <v>23.58</v>
      </c>
      <c r="F733" s="101"/>
      <c r="G733" s="101"/>
      <c r="H733" s="101"/>
      <c r="I733" s="27">
        <f t="shared" si="129"/>
        <v>0</v>
      </c>
      <c r="J733" s="28">
        <f t="shared" si="130"/>
        <v>0</v>
      </c>
      <c r="K733" s="29">
        <f t="shared" si="131"/>
        <v>0</v>
      </c>
      <c r="L733" s="96"/>
      <c r="M733" s="86">
        <v>1</v>
      </c>
    </row>
    <row r="734" s="86" customFormat="1" ht="60" outlineLevel="2" spans="1:15">
      <c r="A734" s="103">
        <f t="shared" si="128"/>
        <v>4</v>
      </c>
      <c r="B734" s="98" t="s">
        <v>163</v>
      </c>
      <c r="C734" s="99" t="s">
        <v>301</v>
      </c>
      <c r="D734" s="100" t="s">
        <v>58</v>
      </c>
      <c r="E734" s="101">
        <v>23.58</v>
      </c>
      <c r="F734" s="101"/>
      <c r="G734" s="101"/>
      <c r="H734" s="101"/>
      <c r="I734" s="27">
        <f t="shared" si="129"/>
        <v>0</v>
      </c>
      <c r="J734" s="28">
        <f t="shared" si="130"/>
        <v>0</v>
      </c>
      <c r="K734" s="29">
        <f t="shared" si="131"/>
        <v>0</v>
      </c>
      <c r="L734" s="96"/>
      <c r="M734" s="86">
        <v>1</v>
      </c>
    </row>
    <row r="735" s="86" customFormat="1" ht="48" outlineLevel="2" spans="1:15">
      <c r="A735" s="103">
        <f t="shared" si="128"/>
        <v>5</v>
      </c>
      <c r="B735" s="98" t="s">
        <v>66</v>
      </c>
      <c r="C735" s="99" t="s">
        <v>67</v>
      </c>
      <c r="D735" s="100" t="s">
        <v>58</v>
      </c>
      <c r="E735" s="101">
        <v>12.25</v>
      </c>
      <c r="F735" s="101"/>
      <c r="G735" s="101"/>
      <c r="H735" s="101"/>
      <c r="I735" s="27">
        <f t="shared" si="129"/>
        <v>0</v>
      </c>
      <c r="J735" s="28">
        <f t="shared" si="130"/>
        <v>0</v>
      </c>
      <c r="K735" s="29">
        <f t="shared" si="131"/>
        <v>0</v>
      </c>
      <c r="L735" s="96"/>
      <c r="M735" s="86">
        <v>1</v>
      </c>
    </row>
    <row r="736" s="86" customFormat="1" ht="36" outlineLevel="2" spans="1:15">
      <c r="A736" s="103">
        <f t="shared" si="128"/>
        <v>6</v>
      </c>
      <c r="B736" s="98" t="s">
        <v>63</v>
      </c>
      <c r="C736" s="99" t="s">
        <v>64</v>
      </c>
      <c r="D736" s="100" t="s">
        <v>65</v>
      </c>
      <c r="E736" s="101">
        <v>5.66</v>
      </c>
      <c r="F736" s="101"/>
      <c r="G736" s="101"/>
      <c r="H736" s="101"/>
      <c r="I736" s="27">
        <f t="shared" si="129"/>
        <v>0</v>
      </c>
      <c r="J736" s="28">
        <f t="shared" si="130"/>
        <v>0</v>
      </c>
      <c r="K736" s="29">
        <f t="shared" si="131"/>
        <v>0</v>
      </c>
      <c r="L736" s="96"/>
      <c r="M736" s="86">
        <v>1</v>
      </c>
    </row>
    <row r="737" s="86" customFormat="1" ht="24" customHeight="1" outlineLevel="1" spans="1:13">
      <c r="A737" s="97"/>
      <c r="B737" s="98" t="s">
        <v>68</v>
      </c>
      <c r="C737" s="99"/>
      <c r="D737" s="100"/>
      <c r="E737" s="101"/>
      <c r="F737" s="101"/>
      <c r="G737" s="101"/>
      <c r="H737" s="101"/>
      <c r="I737" s="101"/>
      <c r="J737" s="101"/>
      <c r="K737" s="102"/>
      <c r="L737" s="96"/>
    </row>
    <row r="738" s="86" customFormat="1" ht="60" outlineLevel="2" spans="1:13">
      <c r="A738" s="103">
        <f t="shared" ref="A738:A743" si="132">1+N(A737)</f>
        <v>1</v>
      </c>
      <c r="B738" s="104" t="s">
        <v>169</v>
      </c>
      <c r="C738" s="99" t="s">
        <v>257</v>
      </c>
      <c r="D738" s="100" t="s">
        <v>58</v>
      </c>
      <c r="E738" s="101">
        <v>18.474</v>
      </c>
      <c r="F738" s="101"/>
      <c r="G738" s="101"/>
      <c r="H738" s="101"/>
      <c r="I738" s="27">
        <f t="shared" ref="I738:I743" si="133">(F738+G738+H738)*$I$3</f>
        <v>0</v>
      </c>
      <c r="J738" s="28">
        <f t="shared" ref="J738:J743" si="134">ROUND(SUM(F738:I738),2)</f>
        <v>0</v>
      </c>
      <c r="K738" s="29">
        <f t="shared" ref="K738:K743" si="135">ROUND(J738*E738,2)</f>
        <v>0</v>
      </c>
      <c r="L738" s="96"/>
      <c r="M738" s="86">
        <v>1</v>
      </c>
    </row>
    <row r="739" s="86" customFormat="1" ht="36" outlineLevel="2" spans="1:13">
      <c r="A739" s="103">
        <f t="shared" si="132"/>
        <v>2</v>
      </c>
      <c r="B739" s="98" t="s">
        <v>355</v>
      </c>
      <c r="C739" s="99" t="s">
        <v>356</v>
      </c>
      <c r="D739" s="100" t="s">
        <v>58</v>
      </c>
      <c r="E739" s="101">
        <v>13.292</v>
      </c>
      <c r="F739" s="101"/>
      <c r="G739" s="101"/>
      <c r="H739" s="101"/>
      <c r="I739" s="27">
        <f t="shared" si="133"/>
        <v>0</v>
      </c>
      <c r="J739" s="28">
        <f t="shared" si="134"/>
        <v>0</v>
      </c>
      <c r="K739" s="29">
        <f t="shared" si="135"/>
        <v>0</v>
      </c>
      <c r="L739" s="96"/>
      <c r="M739" s="86">
        <v>1</v>
      </c>
    </row>
    <row r="740" s="86" customFormat="1" ht="36" outlineLevel="2" spans="1:13">
      <c r="A740" s="103">
        <f t="shared" si="132"/>
        <v>3</v>
      </c>
      <c r="B740" s="98" t="s">
        <v>343</v>
      </c>
      <c r="C740" s="99" t="s">
        <v>344</v>
      </c>
      <c r="D740" s="100" t="s">
        <v>58</v>
      </c>
      <c r="E740" s="101">
        <v>25.177</v>
      </c>
      <c r="F740" s="101"/>
      <c r="G740" s="101"/>
      <c r="H740" s="101"/>
      <c r="I740" s="27">
        <f t="shared" si="133"/>
        <v>0</v>
      </c>
      <c r="J740" s="28">
        <f t="shared" si="134"/>
        <v>0</v>
      </c>
      <c r="K740" s="29">
        <f t="shared" si="135"/>
        <v>0</v>
      </c>
      <c r="L740" s="96"/>
      <c r="M740" s="86">
        <v>1</v>
      </c>
    </row>
    <row r="741" s="86" customFormat="1" ht="48" outlineLevel="2" spans="1:13">
      <c r="A741" s="103">
        <f t="shared" si="132"/>
        <v>4</v>
      </c>
      <c r="B741" s="98" t="s">
        <v>77</v>
      </c>
      <c r="C741" s="99" t="s">
        <v>78</v>
      </c>
      <c r="D741" s="100" t="s">
        <v>58</v>
      </c>
      <c r="E741" s="101">
        <f>1.27*3.4*2+1.3*0.95</f>
        <v>9.871</v>
      </c>
      <c r="F741" s="101"/>
      <c r="G741" s="101"/>
      <c r="H741" s="101"/>
      <c r="I741" s="27">
        <f t="shared" si="133"/>
        <v>0</v>
      </c>
      <c r="J741" s="28">
        <f t="shared" si="134"/>
        <v>0</v>
      </c>
      <c r="K741" s="29">
        <f t="shared" si="135"/>
        <v>0</v>
      </c>
      <c r="L741" s="96"/>
      <c r="M741" s="86">
        <v>1</v>
      </c>
    </row>
    <row r="742" s="86" customFormat="1" ht="48" outlineLevel="2" spans="1:13">
      <c r="A742" s="103">
        <f t="shared" si="132"/>
        <v>5</v>
      </c>
      <c r="B742" s="98" t="s">
        <v>86</v>
      </c>
      <c r="C742" s="99" t="s">
        <v>87</v>
      </c>
      <c r="D742" s="100" t="s">
        <v>65</v>
      </c>
      <c r="E742" s="101">
        <v>19.59</v>
      </c>
      <c r="F742" s="101"/>
      <c r="G742" s="101"/>
      <c r="H742" s="101"/>
      <c r="I742" s="27">
        <f t="shared" si="133"/>
        <v>0</v>
      </c>
      <c r="J742" s="28">
        <f t="shared" si="134"/>
        <v>0</v>
      </c>
      <c r="K742" s="29">
        <f t="shared" si="135"/>
        <v>0</v>
      </c>
      <c r="L742" s="96"/>
      <c r="M742" s="86">
        <v>1</v>
      </c>
    </row>
    <row r="743" s="86" customFormat="1" ht="36" outlineLevel="2" spans="1:13">
      <c r="A743" s="103">
        <f t="shared" si="132"/>
        <v>6</v>
      </c>
      <c r="B743" s="98" t="s">
        <v>234</v>
      </c>
      <c r="C743" s="99" t="s">
        <v>235</v>
      </c>
      <c r="D743" s="105" t="s">
        <v>58</v>
      </c>
      <c r="E743" s="101">
        <f>8.1*2*0.095</f>
        <v>1.539</v>
      </c>
      <c r="F743" s="101"/>
      <c r="G743" s="101"/>
      <c r="H743" s="101"/>
      <c r="I743" s="27">
        <f t="shared" si="133"/>
        <v>0</v>
      </c>
      <c r="J743" s="28">
        <f t="shared" si="134"/>
        <v>0</v>
      </c>
      <c r="K743" s="29">
        <f t="shared" si="135"/>
        <v>0</v>
      </c>
      <c r="L743" s="96"/>
      <c r="M743" s="86">
        <v>1</v>
      </c>
    </row>
    <row r="744" s="86" customFormat="1" ht="24" customHeight="1" outlineLevel="1" spans="1:13">
      <c r="A744" s="97"/>
      <c r="B744" s="98" t="s">
        <v>96</v>
      </c>
      <c r="C744" s="99"/>
      <c r="D744" s="100"/>
      <c r="E744" s="101"/>
      <c r="F744" s="101"/>
      <c r="G744" s="101"/>
      <c r="H744" s="101"/>
      <c r="I744" s="101"/>
      <c r="J744" s="101"/>
      <c r="K744" s="102"/>
      <c r="L744" s="96"/>
    </row>
    <row r="745" s="86" customFormat="1" ht="72" customHeight="1" outlineLevel="2" spans="1:13">
      <c r="A745" s="103">
        <f t="shared" ref="A745:A751" si="136">1+N(A744)</f>
        <v>1</v>
      </c>
      <c r="B745" s="98" t="s">
        <v>97</v>
      </c>
      <c r="C745" s="108" t="s">
        <v>98</v>
      </c>
      <c r="D745" s="100" t="s">
        <v>58</v>
      </c>
      <c r="E745" s="101">
        <f>26.23-9.82</f>
        <v>16.41</v>
      </c>
      <c r="F745" s="101"/>
      <c r="G745" s="101"/>
      <c r="H745" s="101"/>
      <c r="I745" s="27">
        <f t="shared" ref="I745:I751" si="137">(F745+G745+H745)*$I$3</f>
        <v>0</v>
      </c>
      <c r="J745" s="28">
        <f t="shared" ref="J745:J751" si="138">ROUND(SUM(F745:I745),2)</f>
        <v>0</v>
      </c>
      <c r="K745" s="29">
        <f t="shared" ref="K745:K751" si="139">ROUND(J745*E745,2)</f>
        <v>0</v>
      </c>
      <c r="L745" s="96"/>
      <c r="M745" s="86">
        <v>1</v>
      </c>
    </row>
    <row r="746" s="86" customFormat="1" ht="84" outlineLevel="2" spans="1:13">
      <c r="A746" s="103">
        <f t="shared" si="136"/>
        <v>2</v>
      </c>
      <c r="B746" s="98" t="s">
        <v>357</v>
      </c>
      <c r="C746" s="108" t="s">
        <v>358</v>
      </c>
      <c r="D746" s="100" t="s">
        <v>58</v>
      </c>
      <c r="E746" s="101">
        <v>9.82</v>
      </c>
      <c r="F746" s="101"/>
      <c r="G746" s="101"/>
      <c r="H746" s="101"/>
      <c r="I746" s="27">
        <f t="shared" si="137"/>
        <v>0</v>
      </c>
      <c r="J746" s="28">
        <f t="shared" si="138"/>
        <v>0</v>
      </c>
      <c r="K746" s="29">
        <f t="shared" si="139"/>
        <v>0</v>
      </c>
      <c r="L746" s="96"/>
      <c r="M746" s="86">
        <v>1</v>
      </c>
    </row>
    <row r="747" s="86" customFormat="1" ht="72" customHeight="1" outlineLevel="2" spans="1:13">
      <c r="A747" s="103">
        <f t="shared" si="136"/>
        <v>3</v>
      </c>
      <c r="B747" s="98" t="s">
        <v>103</v>
      </c>
      <c r="C747" s="99" t="s">
        <v>104</v>
      </c>
      <c r="D747" s="100" t="s">
        <v>65</v>
      </c>
      <c r="E747" s="101">
        <f>1.8*2</f>
        <v>3.6</v>
      </c>
      <c r="F747" s="101"/>
      <c r="G747" s="101"/>
      <c r="H747" s="101"/>
      <c r="I747" s="27">
        <f t="shared" si="137"/>
        <v>0</v>
      </c>
      <c r="J747" s="28">
        <f t="shared" si="138"/>
        <v>0</v>
      </c>
      <c r="K747" s="29">
        <f t="shared" si="139"/>
        <v>0</v>
      </c>
      <c r="L747" s="96"/>
      <c r="M747" s="86">
        <v>1</v>
      </c>
    </row>
    <row r="748" s="86" customFormat="1" ht="72" customHeight="1" outlineLevel="2" spans="1:13">
      <c r="A748" s="103">
        <f t="shared" si="136"/>
        <v>4</v>
      </c>
      <c r="B748" s="98" t="s">
        <v>99</v>
      </c>
      <c r="C748" s="99" t="s">
        <v>100</v>
      </c>
      <c r="D748" s="100" t="s">
        <v>65</v>
      </c>
      <c r="E748" s="101">
        <v>19.2</v>
      </c>
      <c r="F748" s="101"/>
      <c r="G748" s="101"/>
      <c r="H748" s="101"/>
      <c r="I748" s="27">
        <f t="shared" si="137"/>
        <v>0</v>
      </c>
      <c r="J748" s="28">
        <f t="shared" si="138"/>
        <v>0</v>
      </c>
      <c r="K748" s="29">
        <f t="shared" si="139"/>
        <v>0</v>
      </c>
      <c r="L748" s="96"/>
      <c r="M748" s="86">
        <v>1</v>
      </c>
    </row>
    <row r="749" s="86" customFormat="1" ht="72" customHeight="1" outlineLevel="2" spans="1:13">
      <c r="A749" s="103">
        <f t="shared" si="136"/>
        <v>5</v>
      </c>
      <c r="B749" s="98" t="s">
        <v>101</v>
      </c>
      <c r="C749" s="99" t="s">
        <v>102</v>
      </c>
      <c r="D749" s="100" t="s">
        <v>65</v>
      </c>
      <c r="E749" s="101">
        <v>19.2</v>
      </c>
      <c r="F749" s="101"/>
      <c r="G749" s="101"/>
      <c r="H749" s="101"/>
      <c r="I749" s="27">
        <f t="shared" si="137"/>
        <v>0</v>
      </c>
      <c r="J749" s="28">
        <f t="shared" si="138"/>
        <v>0</v>
      </c>
      <c r="K749" s="29">
        <f t="shared" si="139"/>
        <v>0</v>
      </c>
      <c r="L749" s="96"/>
      <c r="M749" s="86">
        <v>1</v>
      </c>
    </row>
    <row r="750" s="86" customFormat="1" ht="72" customHeight="1" outlineLevel="2" spans="1:13">
      <c r="A750" s="103">
        <f t="shared" si="136"/>
        <v>6</v>
      </c>
      <c r="B750" s="98" t="s">
        <v>263</v>
      </c>
      <c r="C750" s="99" t="s">
        <v>264</v>
      </c>
      <c r="D750" s="100" t="s">
        <v>65</v>
      </c>
      <c r="E750" s="101">
        <v>9.4</v>
      </c>
      <c r="F750" s="101"/>
      <c r="G750" s="101"/>
      <c r="H750" s="101"/>
      <c r="I750" s="27">
        <f t="shared" si="137"/>
        <v>0</v>
      </c>
      <c r="J750" s="28">
        <f t="shared" si="138"/>
        <v>0</v>
      </c>
      <c r="K750" s="29">
        <f t="shared" si="139"/>
        <v>0</v>
      </c>
      <c r="L750" s="96"/>
      <c r="M750" s="86">
        <v>1</v>
      </c>
    </row>
    <row r="751" s="86" customFormat="1" ht="72" customHeight="1" outlineLevel="2" spans="1:13">
      <c r="A751" s="103">
        <f t="shared" si="136"/>
        <v>7</v>
      </c>
      <c r="B751" s="98" t="s">
        <v>105</v>
      </c>
      <c r="C751" s="99" t="s">
        <v>106</v>
      </c>
      <c r="D751" s="100" t="s">
        <v>58</v>
      </c>
      <c r="E751" s="101">
        <f>16.41+19.2*0.3+9.4*0.4</f>
        <v>25.93</v>
      </c>
      <c r="F751" s="101"/>
      <c r="G751" s="101"/>
      <c r="H751" s="101"/>
      <c r="I751" s="27">
        <f t="shared" si="137"/>
        <v>0</v>
      </c>
      <c r="J751" s="28">
        <f t="shared" si="138"/>
        <v>0</v>
      </c>
      <c r="K751" s="29">
        <f t="shared" si="139"/>
        <v>0</v>
      </c>
      <c r="L751" s="96"/>
      <c r="M751" s="86">
        <v>1</v>
      </c>
    </row>
    <row r="752" s="86" customFormat="1" ht="24" customHeight="1" outlineLevel="1" spans="1:13">
      <c r="A752" s="97"/>
      <c r="B752" s="98" t="s">
        <v>107</v>
      </c>
      <c r="C752" s="99"/>
      <c r="D752" s="100"/>
      <c r="E752" s="101"/>
      <c r="F752" s="101"/>
      <c r="G752" s="101"/>
      <c r="H752" s="101"/>
      <c r="I752" s="101"/>
      <c r="J752" s="101"/>
      <c r="K752" s="102"/>
      <c r="L752" s="96"/>
    </row>
    <row r="753" s="86" customFormat="1" ht="60" outlineLevel="2" spans="1:15">
      <c r="A753" s="103">
        <f>1+N(A752)</f>
        <v>1</v>
      </c>
      <c r="B753" s="98" t="s">
        <v>359</v>
      </c>
      <c r="C753" s="99" t="s">
        <v>325</v>
      </c>
      <c r="D753" s="100" t="s">
        <v>58</v>
      </c>
      <c r="E753" s="101">
        <f>3.385*0.94</f>
        <v>3.1819</v>
      </c>
      <c r="F753" s="101"/>
      <c r="G753" s="101"/>
      <c r="H753" s="101"/>
      <c r="I753" s="27">
        <f>(F753+G753+H753)*$I$3</f>
        <v>0</v>
      </c>
      <c r="J753" s="28">
        <f>ROUND(SUM(F753:I753),2)</f>
        <v>0</v>
      </c>
      <c r="K753" s="29">
        <f>ROUND(J753*E753,2)</f>
        <v>0</v>
      </c>
      <c r="L753" s="96"/>
      <c r="M753" s="86">
        <v>1</v>
      </c>
    </row>
    <row r="754" s="86" customFormat="1" ht="36" outlineLevel="2" spans="1:15">
      <c r="A754" s="103">
        <f>1+N(A753)</f>
        <v>2</v>
      </c>
      <c r="B754" s="98" t="s">
        <v>360</v>
      </c>
      <c r="C754" s="99" t="s">
        <v>361</v>
      </c>
      <c r="D754" s="100" t="s">
        <v>58</v>
      </c>
      <c r="E754" s="101">
        <f>(4.7+2.08)*3.4</f>
        <v>23.052</v>
      </c>
      <c r="F754" s="101"/>
      <c r="G754" s="101"/>
      <c r="H754" s="101"/>
      <c r="I754" s="27">
        <f>(F754+G754+H754)*$I$3</f>
        <v>0</v>
      </c>
      <c r="J754" s="28">
        <f>ROUND(SUM(F754:I754),2)</f>
        <v>0</v>
      </c>
      <c r="K754" s="29">
        <f>ROUND(J754*E754,2)</f>
        <v>0</v>
      </c>
      <c r="L754" s="96"/>
      <c r="M754" s="86">
        <v>1</v>
      </c>
    </row>
    <row r="755" s="86" customFormat="1" ht="36" outlineLevel="2" spans="1:15">
      <c r="A755" s="103">
        <f>1+N(A754)</f>
        <v>3</v>
      </c>
      <c r="B755" s="98" t="s">
        <v>362</v>
      </c>
      <c r="C755" s="99" t="s">
        <v>363</v>
      </c>
      <c r="D755" s="100" t="s">
        <v>58</v>
      </c>
      <c r="E755" s="101">
        <f>0.8*3.4*2</f>
        <v>5.44</v>
      </c>
      <c r="F755" s="101"/>
      <c r="G755" s="101"/>
      <c r="H755" s="101"/>
      <c r="I755" s="27">
        <f>(F755+G755+H755)*$I$3</f>
        <v>0</v>
      </c>
      <c r="J755" s="28">
        <f>ROUND(SUM(F755:I755),2)</f>
        <v>0</v>
      </c>
      <c r="K755" s="29">
        <f>ROUND(J755*E755,2)</f>
        <v>0</v>
      </c>
      <c r="L755" s="96"/>
      <c r="M755" s="86">
        <v>1</v>
      </c>
    </row>
    <row r="756" s="86" customFormat="1" ht="24" outlineLevel="2" spans="1:15">
      <c r="A756" s="103">
        <f>1+N(A755)</f>
        <v>4</v>
      </c>
      <c r="B756" s="98" t="s">
        <v>364</v>
      </c>
      <c r="C756" s="99" t="s">
        <v>365</v>
      </c>
      <c r="D756" s="100" t="s">
        <v>151</v>
      </c>
      <c r="E756" s="101">
        <v>2</v>
      </c>
      <c r="F756" s="101"/>
      <c r="G756" s="101"/>
      <c r="H756" s="101"/>
      <c r="I756" s="27">
        <f>(F756+G756+H756)*$I$3</f>
        <v>0</v>
      </c>
      <c r="J756" s="28">
        <f>ROUND(SUM(F756:I756),2)</f>
        <v>0</v>
      </c>
      <c r="K756" s="29">
        <f>ROUND(J756*E756,2)</f>
        <v>0</v>
      </c>
      <c r="L756" s="96"/>
      <c r="M756" s="86">
        <v>1</v>
      </c>
    </row>
    <row r="757" s="86" customFormat="1" ht="24" customHeight="1" outlineLevel="1" spans="1:15">
      <c r="A757" s="92" t="s">
        <v>366</v>
      </c>
      <c r="B757" s="93" t="s">
        <v>367</v>
      </c>
      <c r="C757" s="119"/>
      <c r="D757" s="94"/>
      <c r="E757" s="95"/>
      <c r="F757" s="95"/>
      <c r="G757" s="95"/>
      <c r="H757" s="95"/>
      <c r="I757" s="95"/>
      <c r="J757" s="95"/>
      <c r="K757" s="23"/>
      <c r="L757" s="96"/>
      <c r="O757" s="86" t="str">
        <f>_xlfn.DISPIMG("ID_15A5E089ABBE4E6A86F1BBE9869FFE1F",1)</f>
        <v>=DISPIMG("ID_15A5E089ABBE4E6A86F1BBE9869FFE1F",1)</v>
      </c>
    </row>
    <row r="758" s="86" customFormat="1" ht="24" customHeight="1" outlineLevel="1" spans="1:15">
      <c r="A758" s="97"/>
      <c r="B758" s="98" t="s">
        <v>55</v>
      </c>
      <c r="C758" s="99"/>
      <c r="D758" s="100"/>
      <c r="E758" s="101"/>
      <c r="F758" s="101"/>
      <c r="G758" s="101"/>
      <c r="H758" s="101"/>
      <c r="I758" s="101"/>
      <c r="J758" s="101"/>
      <c r="K758" s="102"/>
      <c r="L758" s="96"/>
    </row>
    <row r="759" s="86" customFormat="1" ht="96" outlineLevel="2" spans="1:15">
      <c r="A759" s="103">
        <f>1+N(A758)</f>
        <v>1</v>
      </c>
      <c r="B759" s="98" t="s">
        <v>56</v>
      </c>
      <c r="C759" s="99" t="s">
        <v>57</v>
      </c>
      <c r="D759" s="100" t="s">
        <v>58</v>
      </c>
      <c r="E759" s="101">
        <v>5.1</v>
      </c>
      <c r="F759" s="101"/>
      <c r="G759" s="101"/>
      <c r="H759" s="27"/>
      <c r="I759" s="27">
        <f>(F759+G759+H759)*$I$3</f>
        <v>0</v>
      </c>
      <c r="J759" s="28">
        <f>ROUND(SUM(F759:I759),2)</f>
        <v>0</v>
      </c>
      <c r="K759" s="29">
        <f>ROUND(J759*E759,2)</f>
        <v>0</v>
      </c>
      <c r="L759" s="96"/>
      <c r="M759" s="86">
        <v>1</v>
      </c>
    </row>
    <row r="760" s="86" customFormat="1" ht="108" outlineLevel="2" spans="1:15">
      <c r="A760" s="103">
        <f>1+N(A759)</f>
        <v>2</v>
      </c>
      <c r="B760" s="98" t="s">
        <v>59</v>
      </c>
      <c r="C760" s="99" t="s">
        <v>60</v>
      </c>
      <c r="D760" s="100" t="s">
        <v>58</v>
      </c>
      <c r="E760" s="101">
        <v>4.9</v>
      </c>
      <c r="F760" s="101"/>
      <c r="G760" s="101"/>
      <c r="H760" s="101"/>
      <c r="I760" s="27">
        <f>(F760+G760+H760)*$I$3</f>
        <v>0</v>
      </c>
      <c r="J760" s="28">
        <f>ROUND(SUM(F760:I760),2)</f>
        <v>0</v>
      </c>
      <c r="K760" s="29">
        <f>ROUND(J760*E760,2)</f>
        <v>0</v>
      </c>
      <c r="L760" s="96"/>
      <c r="M760" s="86">
        <v>1</v>
      </c>
    </row>
    <row r="761" s="86" customFormat="1" ht="48" outlineLevel="2" spans="1:15">
      <c r="A761" s="103">
        <f>1+N(A760)</f>
        <v>3</v>
      </c>
      <c r="B761" s="98" t="s">
        <v>66</v>
      </c>
      <c r="C761" s="99" t="s">
        <v>67</v>
      </c>
      <c r="D761" s="100" t="s">
        <v>58</v>
      </c>
      <c r="E761" s="101">
        <v>10</v>
      </c>
      <c r="F761" s="101"/>
      <c r="G761" s="101"/>
      <c r="H761" s="101"/>
      <c r="I761" s="27">
        <f>(F761+G761+H761)*$I$3</f>
        <v>0</v>
      </c>
      <c r="J761" s="28">
        <f>ROUND(SUM(F761:I761),2)</f>
        <v>0</v>
      </c>
      <c r="K761" s="29">
        <f>ROUND(J761*E761,2)</f>
        <v>0</v>
      </c>
      <c r="L761" s="96"/>
      <c r="M761" s="86">
        <v>1</v>
      </c>
    </row>
    <row r="762" s="86" customFormat="1" ht="36" outlineLevel="2" spans="1:15">
      <c r="A762" s="103">
        <f>1+N(A761)</f>
        <v>4</v>
      </c>
      <c r="B762" s="98" t="s">
        <v>63</v>
      </c>
      <c r="C762" s="99" t="s">
        <v>64</v>
      </c>
      <c r="D762" s="100" t="s">
        <v>65</v>
      </c>
      <c r="E762" s="101">
        <v>8.3</v>
      </c>
      <c r="F762" s="101"/>
      <c r="G762" s="101"/>
      <c r="H762" s="101"/>
      <c r="I762" s="27">
        <f>(F762+G762+H762)*$I$3</f>
        <v>0</v>
      </c>
      <c r="J762" s="28">
        <f>ROUND(SUM(F762:I762),2)</f>
        <v>0</v>
      </c>
      <c r="K762" s="29">
        <f>ROUND(J762*E762,2)</f>
        <v>0</v>
      </c>
      <c r="L762" s="96"/>
      <c r="M762" s="86">
        <v>1</v>
      </c>
    </row>
    <row r="763" s="86" customFormat="1" ht="24" customHeight="1" outlineLevel="1" spans="1:15">
      <c r="A763" s="97"/>
      <c r="B763" s="98" t="s">
        <v>68</v>
      </c>
      <c r="C763" s="99"/>
      <c r="D763" s="100"/>
      <c r="E763" s="101"/>
      <c r="F763" s="101"/>
      <c r="G763" s="101"/>
      <c r="H763" s="101"/>
      <c r="I763" s="101"/>
      <c r="J763" s="101"/>
      <c r="K763" s="102"/>
      <c r="L763" s="96"/>
    </row>
    <row r="764" s="86" customFormat="1" ht="96" outlineLevel="2" spans="1:15">
      <c r="A764" s="103">
        <f t="shared" ref="A764:A772" si="140">1+N(A763)</f>
        <v>1</v>
      </c>
      <c r="B764" s="105" t="s">
        <v>71</v>
      </c>
      <c r="C764" s="106" t="s">
        <v>72</v>
      </c>
      <c r="D764" s="100" t="s">
        <v>58</v>
      </c>
      <c r="E764" s="101">
        <f>22.951+0.814</f>
        <v>23.765</v>
      </c>
      <c r="F764" s="101"/>
      <c r="G764" s="101"/>
      <c r="H764" s="101"/>
      <c r="I764" s="27">
        <f t="shared" ref="I764:I772" si="141">(F764+G764+H764)*$I$3</f>
        <v>0</v>
      </c>
      <c r="J764" s="28">
        <f t="shared" ref="J764:J772" si="142">ROUND(SUM(F764:I764),2)</f>
        <v>0</v>
      </c>
      <c r="K764" s="29">
        <f t="shared" ref="K764:K772" si="143">ROUND(J764*E764,2)</f>
        <v>0</v>
      </c>
      <c r="L764" s="96"/>
      <c r="M764" s="86">
        <v>1</v>
      </c>
    </row>
    <row r="765" s="86" customFormat="1" ht="48" outlineLevel="2" spans="1:15">
      <c r="A765" s="103">
        <f t="shared" si="140"/>
        <v>2</v>
      </c>
      <c r="B765" s="98" t="s">
        <v>77</v>
      </c>
      <c r="C765" s="106" t="s">
        <v>78</v>
      </c>
      <c r="D765" s="100" t="s">
        <v>58</v>
      </c>
      <c r="E765" s="101">
        <f>0.82*3.4*2+1.046*2.77</f>
        <v>8.47342</v>
      </c>
      <c r="F765" s="101"/>
      <c r="G765" s="101"/>
      <c r="H765" s="101"/>
      <c r="I765" s="27">
        <f t="shared" si="141"/>
        <v>0</v>
      </c>
      <c r="J765" s="28">
        <f t="shared" si="142"/>
        <v>0</v>
      </c>
      <c r="K765" s="29">
        <f t="shared" si="143"/>
        <v>0</v>
      </c>
      <c r="L765" s="96"/>
      <c r="M765" s="86">
        <v>1</v>
      </c>
    </row>
    <row r="766" s="86" customFormat="1" ht="48" outlineLevel="2" spans="1:15">
      <c r="A766" s="103">
        <f t="shared" si="140"/>
        <v>3</v>
      </c>
      <c r="B766" s="105" t="s">
        <v>79</v>
      </c>
      <c r="C766" s="106" t="s">
        <v>78</v>
      </c>
      <c r="D766" s="105" t="s">
        <v>58</v>
      </c>
      <c r="E766" s="101">
        <f>0.34*3.4*2*2</f>
        <v>4.624</v>
      </c>
      <c r="F766" s="101"/>
      <c r="G766" s="101"/>
      <c r="H766" s="101"/>
      <c r="I766" s="27">
        <f t="shared" si="141"/>
        <v>0</v>
      </c>
      <c r="J766" s="28">
        <f t="shared" si="142"/>
        <v>0</v>
      </c>
      <c r="K766" s="29">
        <f t="shared" si="143"/>
        <v>0</v>
      </c>
      <c r="L766" s="96"/>
      <c r="M766" s="86">
        <v>1</v>
      </c>
    </row>
    <row r="767" s="86" customFormat="1" ht="60" outlineLevel="2" spans="1:15">
      <c r="A767" s="103">
        <f t="shared" si="140"/>
        <v>4</v>
      </c>
      <c r="B767" s="105" t="s">
        <v>80</v>
      </c>
      <c r="C767" s="106" t="s">
        <v>81</v>
      </c>
      <c r="D767" s="105" t="s">
        <v>58</v>
      </c>
      <c r="E767" s="101">
        <f>+(0.061+1.09+0.114+0.074)*0.95*2</f>
        <v>2.5441</v>
      </c>
      <c r="F767" s="101"/>
      <c r="G767" s="101"/>
      <c r="H767" s="101"/>
      <c r="I767" s="27">
        <f t="shared" si="141"/>
        <v>0</v>
      </c>
      <c r="J767" s="28">
        <f t="shared" si="142"/>
        <v>0</v>
      </c>
      <c r="K767" s="29">
        <f t="shared" si="143"/>
        <v>0</v>
      </c>
      <c r="L767" s="96"/>
      <c r="M767" s="86">
        <v>1</v>
      </c>
    </row>
    <row r="768" s="86" customFormat="1" ht="48" outlineLevel="2" spans="1:15">
      <c r="A768" s="103">
        <f t="shared" si="140"/>
        <v>5</v>
      </c>
      <c r="B768" s="105" t="s">
        <v>82</v>
      </c>
      <c r="C768" s="106" t="s">
        <v>83</v>
      </c>
      <c r="D768" s="105" t="s">
        <v>58</v>
      </c>
      <c r="E768" s="101">
        <v>0.252</v>
      </c>
      <c r="F768" s="101"/>
      <c r="G768" s="101"/>
      <c r="H768" s="101"/>
      <c r="I768" s="27">
        <f t="shared" si="141"/>
        <v>0</v>
      </c>
      <c r="J768" s="28">
        <f t="shared" si="142"/>
        <v>0</v>
      </c>
      <c r="K768" s="29">
        <f t="shared" si="143"/>
        <v>0</v>
      </c>
      <c r="L768" s="96"/>
      <c r="M768" s="86">
        <v>1</v>
      </c>
    </row>
    <row r="769" s="86" customFormat="1" ht="48" outlineLevel="2" spans="1:15">
      <c r="A769" s="103">
        <f t="shared" si="140"/>
        <v>6</v>
      </c>
      <c r="B769" s="105" t="s">
        <v>86</v>
      </c>
      <c r="C769" s="106" t="s">
        <v>87</v>
      </c>
      <c r="D769" s="105" t="s">
        <v>65</v>
      </c>
      <c r="E769" s="101">
        <v>7.251</v>
      </c>
      <c r="F769" s="101"/>
      <c r="G769" s="101"/>
      <c r="H769" s="101"/>
      <c r="I769" s="27">
        <f t="shared" si="141"/>
        <v>0</v>
      </c>
      <c r="J769" s="28">
        <f t="shared" si="142"/>
        <v>0</v>
      </c>
      <c r="K769" s="29">
        <f t="shared" si="143"/>
        <v>0</v>
      </c>
      <c r="L769" s="96"/>
      <c r="M769" s="86">
        <v>1</v>
      </c>
    </row>
    <row r="770" s="86" customFormat="1" ht="36" outlineLevel="2" spans="1:15">
      <c r="A770" s="103">
        <f t="shared" si="140"/>
        <v>7</v>
      </c>
      <c r="B770" s="105" t="s">
        <v>88</v>
      </c>
      <c r="C770" s="106" t="s">
        <v>89</v>
      </c>
      <c r="D770" s="105" t="s">
        <v>65</v>
      </c>
      <c r="E770" s="101">
        <f>0.17*2</f>
        <v>0.34</v>
      </c>
      <c r="F770" s="101"/>
      <c r="G770" s="101"/>
      <c r="H770" s="101"/>
      <c r="I770" s="27">
        <f t="shared" si="141"/>
        <v>0</v>
      </c>
      <c r="J770" s="28">
        <f t="shared" si="142"/>
        <v>0</v>
      </c>
      <c r="K770" s="29">
        <f t="shared" si="143"/>
        <v>0</v>
      </c>
      <c r="L770" s="96"/>
      <c r="M770" s="86">
        <v>1</v>
      </c>
    </row>
    <row r="771" s="86" customFormat="1" ht="48" outlineLevel="2" spans="1:15">
      <c r="A771" s="103">
        <f t="shared" si="140"/>
        <v>8</v>
      </c>
      <c r="B771" s="105" t="s">
        <v>92</v>
      </c>
      <c r="C771" s="106" t="s">
        <v>93</v>
      </c>
      <c r="D771" s="105" t="s">
        <v>65</v>
      </c>
      <c r="E771" s="101">
        <v>6.911</v>
      </c>
      <c r="F771" s="101"/>
      <c r="G771" s="101"/>
      <c r="H771" s="101"/>
      <c r="I771" s="27">
        <f t="shared" si="141"/>
        <v>0</v>
      </c>
      <c r="J771" s="28">
        <f t="shared" si="142"/>
        <v>0</v>
      </c>
      <c r="K771" s="29">
        <f t="shared" si="143"/>
        <v>0</v>
      </c>
      <c r="L771" s="96"/>
      <c r="M771" s="86">
        <v>1</v>
      </c>
    </row>
    <row r="772" s="86" customFormat="1" ht="48" outlineLevel="2" spans="1:15">
      <c r="A772" s="103">
        <f t="shared" si="140"/>
        <v>9</v>
      </c>
      <c r="B772" s="105" t="s">
        <v>94</v>
      </c>
      <c r="C772" s="106" t="s">
        <v>95</v>
      </c>
      <c r="D772" s="105" t="s">
        <v>65</v>
      </c>
      <c r="E772" s="101">
        <v>7.251</v>
      </c>
      <c r="F772" s="101"/>
      <c r="G772" s="101"/>
      <c r="H772" s="101"/>
      <c r="I772" s="27">
        <f t="shared" si="141"/>
        <v>0</v>
      </c>
      <c r="J772" s="28">
        <f t="shared" si="142"/>
        <v>0</v>
      </c>
      <c r="K772" s="29">
        <f t="shared" si="143"/>
        <v>0</v>
      </c>
      <c r="L772" s="96"/>
      <c r="M772" s="86">
        <v>1</v>
      </c>
    </row>
    <row r="773" s="86" customFormat="1" ht="24" customHeight="1" outlineLevel="1" spans="1:15">
      <c r="A773" s="97"/>
      <c r="B773" s="98" t="s">
        <v>96</v>
      </c>
      <c r="C773" s="99"/>
      <c r="D773" s="100"/>
      <c r="E773" s="101"/>
      <c r="F773" s="101"/>
      <c r="G773" s="101"/>
      <c r="H773" s="101"/>
      <c r="I773" s="101"/>
      <c r="J773" s="101"/>
      <c r="K773" s="102"/>
      <c r="L773" s="96"/>
    </row>
    <row r="774" s="86" customFormat="1" ht="96" outlineLevel="2" spans="1:15">
      <c r="A774" s="103">
        <f>1+N(A773)</f>
        <v>1</v>
      </c>
      <c r="B774" s="98" t="s">
        <v>97</v>
      </c>
      <c r="C774" s="108" t="s">
        <v>98</v>
      </c>
      <c r="D774" s="100" t="s">
        <v>58</v>
      </c>
      <c r="E774" s="101">
        <v>10</v>
      </c>
      <c r="F774" s="101"/>
      <c r="G774" s="101"/>
      <c r="H774" s="101"/>
      <c r="I774" s="27">
        <f>(F774+G774+H774)*$I$3</f>
        <v>0</v>
      </c>
      <c r="J774" s="28">
        <f>ROUND(SUM(F774:I774),2)</f>
        <v>0</v>
      </c>
      <c r="K774" s="29">
        <f>ROUND(J774*E774,2)</f>
        <v>0</v>
      </c>
      <c r="L774" s="96"/>
      <c r="M774" s="86">
        <v>1</v>
      </c>
    </row>
    <row r="775" s="86" customFormat="1" ht="72" customHeight="1" outlineLevel="2" spans="1:15">
      <c r="A775" s="103">
        <f>1+N(A774)</f>
        <v>2</v>
      </c>
      <c r="B775" s="98" t="s">
        <v>99</v>
      </c>
      <c r="C775" s="99" t="s">
        <v>100</v>
      </c>
      <c r="D775" s="100" t="s">
        <v>65</v>
      </c>
      <c r="E775" s="101">
        <v>7.9</v>
      </c>
      <c r="F775" s="101"/>
      <c r="G775" s="101"/>
      <c r="H775" s="101"/>
      <c r="I775" s="27">
        <f>(F775+G775+H775)*$I$3</f>
        <v>0</v>
      </c>
      <c r="J775" s="28">
        <f>ROUND(SUM(F775:I775),2)</f>
        <v>0</v>
      </c>
      <c r="K775" s="29">
        <f>ROUND(J775*E775,2)</f>
        <v>0</v>
      </c>
      <c r="L775" s="96"/>
      <c r="M775" s="86">
        <v>1</v>
      </c>
    </row>
    <row r="776" s="86" customFormat="1" ht="72" customHeight="1" outlineLevel="2" spans="1:15">
      <c r="A776" s="103">
        <f>1+N(A775)</f>
        <v>3</v>
      </c>
      <c r="B776" s="98" t="s">
        <v>101</v>
      </c>
      <c r="C776" s="99" t="s">
        <v>102</v>
      </c>
      <c r="D776" s="100" t="s">
        <v>65</v>
      </c>
      <c r="E776" s="101">
        <v>7.9</v>
      </c>
      <c r="F776" s="101"/>
      <c r="G776" s="101"/>
      <c r="H776" s="101"/>
      <c r="I776" s="27">
        <f>(F776+G776+H776)*$I$3</f>
        <v>0</v>
      </c>
      <c r="J776" s="28">
        <f>ROUND(SUM(F776:I776),2)</f>
        <v>0</v>
      </c>
      <c r="K776" s="29">
        <f>ROUND(J776*E776,2)</f>
        <v>0</v>
      </c>
      <c r="L776" s="96"/>
      <c r="M776" s="86">
        <v>1</v>
      </c>
    </row>
    <row r="777" s="86" customFormat="1" ht="72" customHeight="1" outlineLevel="2" spans="1:15">
      <c r="A777" s="103">
        <f>1+N(A776)</f>
        <v>4</v>
      </c>
      <c r="B777" s="98" t="s">
        <v>103</v>
      </c>
      <c r="C777" s="99" t="s">
        <v>104</v>
      </c>
      <c r="D777" s="100" t="s">
        <v>65</v>
      </c>
      <c r="E777" s="101">
        <f>1.2*2*1</f>
        <v>2.4</v>
      </c>
      <c r="F777" s="101"/>
      <c r="G777" s="101"/>
      <c r="H777" s="101"/>
      <c r="I777" s="27">
        <f>(F777+G777+H777)*$I$3</f>
        <v>0</v>
      </c>
      <c r="J777" s="28">
        <f>ROUND(SUM(F777:I777),2)</f>
        <v>0</v>
      </c>
      <c r="K777" s="29">
        <f>ROUND(J777*E777,2)</f>
        <v>0</v>
      </c>
      <c r="L777" s="96"/>
      <c r="M777" s="86">
        <v>1</v>
      </c>
    </row>
    <row r="778" s="86" customFormat="1" ht="72" customHeight="1" outlineLevel="2" spans="1:15">
      <c r="A778" s="103">
        <f>1+N(A777)</f>
        <v>5</v>
      </c>
      <c r="B778" s="98" t="s">
        <v>105</v>
      </c>
      <c r="C778" s="99" t="s">
        <v>106</v>
      </c>
      <c r="D778" s="100" t="s">
        <v>58</v>
      </c>
      <c r="E778" s="101">
        <f>10+7.9*0.3</f>
        <v>12.37</v>
      </c>
      <c r="F778" s="101"/>
      <c r="G778" s="101"/>
      <c r="H778" s="101"/>
      <c r="I778" s="27">
        <f>(F778+G778+H778)*$I$3</f>
        <v>0</v>
      </c>
      <c r="J778" s="28">
        <f>ROUND(SUM(F778:I778),2)</f>
        <v>0</v>
      </c>
      <c r="K778" s="29">
        <f>ROUND(J778*E778,2)</f>
        <v>0</v>
      </c>
      <c r="L778" s="96"/>
      <c r="M778" s="86">
        <v>1</v>
      </c>
    </row>
    <row r="779" s="86" customFormat="1" ht="24" customHeight="1" outlineLevel="1" spans="1:15">
      <c r="A779" s="97"/>
      <c r="B779" s="98" t="s">
        <v>107</v>
      </c>
      <c r="C779" s="99"/>
      <c r="D779" s="100"/>
      <c r="E779" s="101"/>
      <c r="F779" s="101"/>
      <c r="G779" s="101"/>
      <c r="H779" s="101"/>
      <c r="I779" s="101"/>
      <c r="J779" s="101"/>
      <c r="K779" s="102"/>
      <c r="L779" s="96"/>
    </row>
    <row r="780" s="86" customFormat="1" ht="60" outlineLevel="2" spans="1:15">
      <c r="A780" s="103">
        <f>1+N(A779)</f>
        <v>1</v>
      </c>
      <c r="B780" s="98" t="s">
        <v>368</v>
      </c>
      <c r="C780" s="99" t="s">
        <v>325</v>
      </c>
      <c r="D780" s="100" t="s">
        <v>58</v>
      </c>
      <c r="E780" s="101">
        <f>2.77*3.2</f>
        <v>8.864</v>
      </c>
      <c r="F780" s="101"/>
      <c r="G780" s="101"/>
      <c r="H780" s="101"/>
      <c r="I780" s="27">
        <f>(F780+G780+H780)*$I$3</f>
        <v>0</v>
      </c>
      <c r="J780" s="28">
        <f>ROUND(SUM(F780:I780),2)</f>
        <v>0</v>
      </c>
      <c r="K780" s="29">
        <f>ROUND(J780*E780,2)</f>
        <v>0</v>
      </c>
      <c r="L780" s="96"/>
      <c r="M780" s="86">
        <v>1</v>
      </c>
    </row>
    <row r="781" s="86" customFormat="1" ht="24" customHeight="1" outlineLevel="1" spans="1:15">
      <c r="A781" s="92" t="s">
        <v>369</v>
      </c>
      <c r="B781" s="93" t="s">
        <v>326</v>
      </c>
      <c r="C781" s="93"/>
      <c r="D781" s="94"/>
      <c r="E781" s="95"/>
      <c r="F781" s="95"/>
      <c r="G781" s="95"/>
      <c r="H781" s="95"/>
      <c r="I781" s="95"/>
      <c r="J781" s="95"/>
      <c r="K781" s="23"/>
      <c r="L781" s="96"/>
      <c r="O781" s="86" t="str">
        <f>_xlfn.DISPIMG("ID_C8C1FEB9063945808E06625CCF17E950",1)</f>
        <v>=DISPIMG("ID_C8C1FEB9063945808E06625CCF17E950",1)</v>
      </c>
    </row>
    <row r="782" s="86" customFormat="1" ht="24" customHeight="1" outlineLevel="1" spans="1:15">
      <c r="A782" s="97"/>
      <c r="B782" s="98" t="s">
        <v>55</v>
      </c>
      <c r="C782" s="99"/>
      <c r="D782" s="100"/>
      <c r="E782" s="101"/>
      <c r="F782" s="101"/>
      <c r="G782" s="101"/>
      <c r="H782" s="101"/>
      <c r="I782" s="101"/>
      <c r="J782" s="101"/>
      <c r="K782" s="102"/>
      <c r="L782" s="96"/>
    </row>
    <row r="783" s="86" customFormat="1" ht="96" outlineLevel="2" spans="1:15">
      <c r="A783" s="103">
        <f t="shared" ref="A783:A788" si="144">1+N(A782)</f>
        <v>1</v>
      </c>
      <c r="B783" s="98" t="s">
        <v>215</v>
      </c>
      <c r="C783" s="99" t="s">
        <v>216</v>
      </c>
      <c r="D783" s="100" t="s">
        <v>58</v>
      </c>
      <c r="E783" s="101">
        <f>8.95-1.18</f>
        <v>7.77</v>
      </c>
      <c r="F783" s="101"/>
      <c r="G783" s="101"/>
      <c r="H783" s="27"/>
      <c r="I783" s="27">
        <f t="shared" ref="I783:I788" si="145">(F783+G783+H783)*$I$3</f>
        <v>0</v>
      </c>
      <c r="J783" s="28">
        <f t="shared" ref="J783:J788" si="146">ROUND(SUM(F783:I783),2)</f>
        <v>0</v>
      </c>
      <c r="K783" s="29">
        <f t="shared" ref="K783:K788" si="147">ROUND(J783*E783,2)</f>
        <v>0</v>
      </c>
      <c r="L783" s="96"/>
      <c r="M783" s="86">
        <v>1</v>
      </c>
    </row>
    <row r="784" s="86" customFormat="1" ht="108" outlineLevel="2" spans="1:15">
      <c r="A784" s="103">
        <f t="shared" si="144"/>
        <v>2</v>
      </c>
      <c r="B784" s="98" t="s">
        <v>370</v>
      </c>
      <c r="C784" s="99" t="s">
        <v>371</v>
      </c>
      <c r="D784" s="100" t="s">
        <v>58</v>
      </c>
      <c r="E784" s="101">
        <f>11.75*0.1</f>
        <v>1.175</v>
      </c>
      <c r="F784" s="101"/>
      <c r="G784" s="101"/>
      <c r="H784" s="101"/>
      <c r="I784" s="27">
        <f t="shared" si="145"/>
        <v>0</v>
      </c>
      <c r="J784" s="28">
        <f t="shared" si="146"/>
        <v>0</v>
      </c>
      <c r="K784" s="29">
        <f t="shared" si="147"/>
        <v>0</v>
      </c>
      <c r="L784" s="96"/>
      <c r="M784" s="86">
        <v>1</v>
      </c>
    </row>
    <row r="785" s="86" customFormat="1" ht="72" outlineLevel="2" spans="1:13">
      <c r="A785" s="103">
        <f t="shared" si="144"/>
        <v>3</v>
      </c>
      <c r="B785" s="98" t="s">
        <v>320</v>
      </c>
      <c r="C785" s="99" t="s">
        <v>321</v>
      </c>
      <c r="D785" s="100" t="s">
        <v>58</v>
      </c>
      <c r="E785" s="101">
        <v>8.5</v>
      </c>
      <c r="F785" s="101"/>
      <c r="G785" s="101"/>
      <c r="H785" s="101"/>
      <c r="I785" s="27">
        <f t="shared" si="145"/>
        <v>0</v>
      </c>
      <c r="J785" s="28">
        <f t="shared" si="146"/>
        <v>0</v>
      </c>
      <c r="K785" s="29">
        <f t="shared" si="147"/>
        <v>0</v>
      </c>
      <c r="L785" s="96"/>
      <c r="M785" s="86">
        <v>1</v>
      </c>
    </row>
    <row r="786" s="86" customFormat="1" ht="60" outlineLevel="2" spans="1:13">
      <c r="A786" s="103">
        <f t="shared" si="144"/>
        <v>4</v>
      </c>
      <c r="B786" s="98" t="s">
        <v>163</v>
      </c>
      <c r="C786" s="99" t="s">
        <v>301</v>
      </c>
      <c r="D786" s="100" t="s">
        <v>58</v>
      </c>
      <c r="E786" s="101">
        <v>8.5</v>
      </c>
      <c r="F786" s="101"/>
      <c r="G786" s="101"/>
      <c r="H786" s="101"/>
      <c r="I786" s="27">
        <f t="shared" si="145"/>
        <v>0</v>
      </c>
      <c r="J786" s="28">
        <f t="shared" si="146"/>
        <v>0</v>
      </c>
      <c r="K786" s="29">
        <f t="shared" si="147"/>
        <v>0</v>
      </c>
      <c r="L786" s="96"/>
      <c r="M786" s="86">
        <v>1</v>
      </c>
    </row>
    <row r="787" s="86" customFormat="1" ht="48" outlineLevel="2" spans="1:13">
      <c r="A787" s="103">
        <f t="shared" si="144"/>
        <v>5</v>
      </c>
      <c r="B787" s="98" t="s">
        <v>66</v>
      </c>
      <c r="C787" s="99" t="s">
        <v>67</v>
      </c>
      <c r="D787" s="100" t="s">
        <v>58</v>
      </c>
      <c r="E787" s="101">
        <v>8.95</v>
      </c>
      <c r="F787" s="101"/>
      <c r="G787" s="101"/>
      <c r="H787" s="101"/>
      <c r="I787" s="27">
        <f t="shared" si="145"/>
        <v>0</v>
      </c>
      <c r="J787" s="28">
        <f t="shared" si="146"/>
        <v>0</v>
      </c>
      <c r="K787" s="29">
        <f t="shared" si="147"/>
        <v>0</v>
      </c>
      <c r="L787" s="96"/>
      <c r="M787" s="86">
        <v>1</v>
      </c>
    </row>
    <row r="788" s="86" customFormat="1" ht="36" outlineLevel="2" spans="1:13">
      <c r="A788" s="103">
        <f t="shared" si="144"/>
        <v>6</v>
      </c>
      <c r="B788" s="98" t="s">
        <v>63</v>
      </c>
      <c r="C788" s="99" t="s">
        <v>64</v>
      </c>
      <c r="D788" s="100" t="s">
        <v>65</v>
      </c>
      <c r="E788" s="101">
        <v>13.73</v>
      </c>
      <c r="F788" s="101"/>
      <c r="G788" s="101"/>
      <c r="H788" s="101"/>
      <c r="I788" s="27">
        <f t="shared" si="145"/>
        <v>0</v>
      </c>
      <c r="J788" s="28">
        <f t="shared" si="146"/>
        <v>0</v>
      </c>
      <c r="K788" s="29">
        <f t="shared" si="147"/>
        <v>0</v>
      </c>
      <c r="L788" s="96"/>
      <c r="M788" s="86">
        <v>1</v>
      </c>
    </row>
    <row r="789" s="86" customFormat="1" ht="24" customHeight="1" outlineLevel="1" spans="1:13">
      <c r="A789" s="97"/>
      <c r="B789" s="98" t="s">
        <v>68</v>
      </c>
      <c r="C789" s="99"/>
      <c r="D789" s="100"/>
      <c r="E789" s="101"/>
      <c r="F789" s="101"/>
      <c r="G789" s="101"/>
      <c r="H789" s="101"/>
      <c r="I789" s="101"/>
      <c r="J789" s="101"/>
      <c r="K789" s="102"/>
      <c r="L789" s="96"/>
    </row>
    <row r="790" s="86" customFormat="1" ht="60" customHeight="1" outlineLevel="2" spans="1:13">
      <c r="A790" s="103">
        <f>1+N(A789)</f>
        <v>1</v>
      </c>
      <c r="B790" s="104" t="s">
        <v>71</v>
      </c>
      <c r="C790" s="99" t="s">
        <v>253</v>
      </c>
      <c r="D790" s="100" t="s">
        <v>58</v>
      </c>
      <c r="E790" s="101">
        <v>31.666</v>
      </c>
      <c r="F790" s="101"/>
      <c r="G790" s="101"/>
      <c r="H790" s="101"/>
      <c r="I790" s="27">
        <f>(F790+G790+H790)*$I$3</f>
        <v>0</v>
      </c>
      <c r="J790" s="28">
        <f>ROUND(SUM(F790:I790),2)</f>
        <v>0</v>
      </c>
      <c r="K790" s="29">
        <f>ROUND(J790*E790,2)</f>
        <v>0</v>
      </c>
      <c r="L790" s="96"/>
      <c r="M790" s="86">
        <v>1</v>
      </c>
    </row>
    <row r="791" s="86" customFormat="1" ht="60" customHeight="1" outlineLevel="2" spans="1:13">
      <c r="A791" s="103">
        <f>1+N(A790)</f>
        <v>2</v>
      </c>
      <c r="B791" s="104" t="s">
        <v>126</v>
      </c>
      <c r="C791" s="99" t="s">
        <v>127</v>
      </c>
      <c r="D791" s="100" t="s">
        <v>58</v>
      </c>
      <c r="E791" s="101">
        <f>1.07*3.4*2</f>
        <v>7.276</v>
      </c>
      <c r="F791" s="101"/>
      <c r="G791" s="101"/>
      <c r="H791" s="101"/>
      <c r="I791" s="27">
        <f>(F791+G791+H791)*$I$3</f>
        <v>0</v>
      </c>
      <c r="J791" s="28">
        <f>ROUND(SUM(F791:I791),2)</f>
        <v>0</v>
      </c>
      <c r="K791" s="29">
        <f>ROUND(J791*E791,2)</f>
        <v>0</v>
      </c>
      <c r="L791" s="96"/>
      <c r="M791" s="86">
        <v>1</v>
      </c>
    </row>
    <row r="792" s="86" customFormat="1" ht="60" customHeight="1" outlineLevel="2" spans="1:13">
      <c r="A792" s="103">
        <f>1+N(A791)</f>
        <v>3</v>
      </c>
      <c r="B792" s="98" t="s">
        <v>86</v>
      </c>
      <c r="C792" s="99" t="s">
        <v>87</v>
      </c>
      <c r="D792" s="100" t="s">
        <v>65</v>
      </c>
      <c r="E792" s="101">
        <v>10.82</v>
      </c>
      <c r="F792" s="101"/>
      <c r="G792" s="101"/>
      <c r="H792" s="101"/>
      <c r="I792" s="27">
        <f>(F792+G792+H792)*$I$3</f>
        <v>0</v>
      </c>
      <c r="J792" s="28">
        <f>ROUND(SUM(F792:I792),2)</f>
        <v>0</v>
      </c>
      <c r="K792" s="29">
        <f>ROUND(J792*E792,2)</f>
        <v>0</v>
      </c>
      <c r="L792" s="96"/>
      <c r="M792" s="86">
        <v>1</v>
      </c>
    </row>
    <row r="793" s="86" customFormat="1" ht="60" customHeight="1" outlineLevel="2" spans="1:13">
      <c r="A793" s="103">
        <f>1+N(A792)</f>
        <v>4</v>
      </c>
      <c r="B793" s="98" t="s">
        <v>345</v>
      </c>
      <c r="C793" s="99" t="s">
        <v>346</v>
      </c>
      <c r="D793" s="100" t="s">
        <v>65</v>
      </c>
      <c r="E793" s="101">
        <v>5.57</v>
      </c>
      <c r="F793" s="101"/>
      <c r="G793" s="101"/>
      <c r="H793" s="101"/>
      <c r="I793" s="27">
        <f>(F793+G793+H793)*$I$3</f>
        <v>0</v>
      </c>
      <c r="J793" s="28">
        <f>ROUND(SUM(F793:I793),2)</f>
        <v>0</v>
      </c>
      <c r="K793" s="29">
        <f>ROUND(J793*E793,2)</f>
        <v>0</v>
      </c>
      <c r="L793" s="96"/>
      <c r="M793" s="86">
        <v>1</v>
      </c>
    </row>
    <row r="794" s="86" customFormat="1" ht="60" customHeight="1" outlineLevel="2" spans="1:13">
      <c r="A794" s="103">
        <f>1+N(A793)</f>
        <v>5</v>
      </c>
      <c r="B794" s="98" t="s">
        <v>234</v>
      </c>
      <c r="C794" s="99" t="s">
        <v>235</v>
      </c>
      <c r="D794" s="105" t="s">
        <v>58</v>
      </c>
      <c r="E794" s="101">
        <f>8.1*0.095</f>
        <v>0.7695</v>
      </c>
      <c r="F794" s="101"/>
      <c r="G794" s="101"/>
      <c r="H794" s="101"/>
      <c r="I794" s="27">
        <f>(F794+G794+H794)*$I$3</f>
        <v>0</v>
      </c>
      <c r="J794" s="28">
        <f>ROUND(SUM(F794:I794),2)</f>
        <v>0</v>
      </c>
      <c r="K794" s="29">
        <f>ROUND(J794*E794,2)</f>
        <v>0</v>
      </c>
      <c r="L794" s="96"/>
      <c r="M794" s="86">
        <v>1</v>
      </c>
    </row>
    <row r="795" s="86" customFormat="1" ht="24" customHeight="1" outlineLevel="1" spans="1:13">
      <c r="A795" s="97"/>
      <c r="B795" s="98" t="s">
        <v>96</v>
      </c>
      <c r="C795" s="99"/>
      <c r="D795" s="100"/>
      <c r="E795" s="101"/>
      <c r="F795" s="101"/>
      <c r="G795" s="101"/>
      <c r="H795" s="101"/>
      <c r="I795" s="101"/>
      <c r="J795" s="101"/>
      <c r="K795" s="102"/>
      <c r="L795" s="96"/>
    </row>
    <row r="796" s="86" customFormat="1" ht="96" outlineLevel="2" spans="1:13">
      <c r="A796" s="103">
        <f t="shared" ref="A796:A802" si="148">1+N(A795)</f>
        <v>1</v>
      </c>
      <c r="B796" s="98" t="s">
        <v>97</v>
      </c>
      <c r="C796" s="108" t="s">
        <v>98</v>
      </c>
      <c r="D796" s="100" t="s">
        <v>58</v>
      </c>
      <c r="E796" s="101">
        <v>9.42</v>
      </c>
      <c r="F796" s="101"/>
      <c r="G796" s="101"/>
      <c r="H796" s="101"/>
      <c r="I796" s="27">
        <f t="shared" ref="I796:I802" si="149">(F796+G796+H796)*$I$3</f>
        <v>0</v>
      </c>
      <c r="J796" s="28">
        <f t="shared" ref="J796:J802" si="150">ROUND(SUM(F796:I796),2)</f>
        <v>0</v>
      </c>
      <c r="K796" s="29">
        <f t="shared" ref="K796:K802" si="151">ROUND(J796*E796,2)</f>
        <v>0</v>
      </c>
      <c r="L796" s="96"/>
      <c r="M796" s="86">
        <v>1</v>
      </c>
    </row>
    <row r="797" s="86" customFormat="1" ht="72" customHeight="1" outlineLevel="2" spans="1:13">
      <c r="A797" s="103">
        <f t="shared" si="148"/>
        <v>2</v>
      </c>
      <c r="B797" s="98" t="s">
        <v>310</v>
      </c>
      <c r="C797" s="108" t="s">
        <v>311</v>
      </c>
      <c r="D797" s="100" t="s">
        <v>58</v>
      </c>
      <c r="E797" s="101">
        <v>7.3</v>
      </c>
      <c r="F797" s="101"/>
      <c r="G797" s="101"/>
      <c r="H797" s="101"/>
      <c r="I797" s="27">
        <f t="shared" si="149"/>
        <v>0</v>
      </c>
      <c r="J797" s="28">
        <f t="shared" si="150"/>
        <v>0</v>
      </c>
      <c r="K797" s="29">
        <f t="shared" si="151"/>
        <v>0</v>
      </c>
      <c r="L797" s="96"/>
      <c r="M797" s="86">
        <v>1</v>
      </c>
    </row>
    <row r="798" s="86" customFormat="1" ht="72" customHeight="1" outlineLevel="2" spans="1:13">
      <c r="A798" s="103">
        <f t="shared" si="148"/>
        <v>3</v>
      </c>
      <c r="B798" s="98" t="s">
        <v>99</v>
      </c>
      <c r="C798" s="108" t="s">
        <v>100</v>
      </c>
      <c r="D798" s="100" t="s">
        <v>65</v>
      </c>
      <c r="E798" s="101">
        <v>13.75</v>
      </c>
      <c r="F798" s="101"/>
      <c r="G798" s="101"/>
      <c r="H798" s="101"/>
      <c r="I798" s="27">
        <f t="shared" si="149"/>
        <v>0</v>
      </c>
      <c r="J798" s="28">
        <f t="shared" si="150"/>
        <v>0</v>
      </c>
      <c r="K798" s="29">
        <f t="shared" si="151"/>
        <v>0</v>
      </c>
      <c r="L798" s="96"/>
      <c r="M798" s="86">
        <v>1</v>
      </c>
    </row>
    <row r="799" s="86" customFormat="1" ht="72" customHeight="1" outlineLevel="2" spans="1:13">
      <c r="A799" s="103">
        <f t="shared" si="148"/>
        <v>4</v>
      </c>
      <c r="B799" s="98" t="s">
        <v>101</v>
      </c>
      <c r="C799" s="99" t="s">
        <v>102</v>
      </c>
      <c r="D799" s="100" t="s">
        <v>65</v>
      </c>
      <c r="E799" s="101">
        <v>13.75</v>
      </c>
      <c r="F799" s="101"/>
      <c r="G799" s="101"/>
      <c r="H799" s="101"/>
      <c r="I799" s="27">
        <f t="shared" si="149"/>
        <v>0</v>
      </c>
      <c r="J799" s="28">
        <f t="shared" si="150"/>
        <v>0</v>
      </c>
      <c r="K799" s="29">
        <f t="shared" si="151"/>
        <v>0</v>
      </c>
      <c r="L799" s="96"/>
      <c r="M799" s="86">
        <v>1</v>
      </c>
    </row>
    <row r="800" s="86" customFormat="1" ht="72" customHeight="1" outlineLevel="2" spans="1:13">
      <c r="A800" s="103">
        <f t="shared" si="148"/>
        <v>5</v>
      </c>
      <c r="B800" s="98" t="s">
        <v>263</v>
      </c>
      <c r="C800" s="99" t="s">
        <v>264</v>
      </c>
      <c r="D800" s="100" t="s">
        <v>65</v>
      </c>
      <c r="E800" s="101">
        <v>3.6</v>
      </c>
      <c r="F800" s="101"/>
      <c r="G800" s="101"/>
      <c r="H800" s="101"/>
      <c r="I800" s="27">
        <f t="shared" si="149"/>
        <v>0</v>
      </c>
      <c r="J800" s="28">
        <f t="shared" si="150"/>
        <v>0</v>
      </c>
      <c r="K800" s="29">
        <f t="shared" si="151"/>
        <v>0</v>
      </c>
      <c r="L800" s="96"/>
      <c r="M800" s="86">
        <v>1</v>
      </c>
    </row>
    <row r="801" s="86" customFormat="1" ht="72" customHeight="1" outlineLevel="2" spans="1:15">
      <c r="A801" s="103">
        <f t="shared" si="148"/>
        <v>6</v>
      </c>
      <c r="B801" s="98" t="s">
        <v>103</v>
      </c>
      <c r="C801" s="99" t="s">
        <v>104</v>
      </c>
      <c r="D801" s="100" t="s">
        <v>65</v>
      </c>
      <c r="E801" s="101">
        <f>1.2*2*1</f>
        <v>2.4</v>
      </c>
      <c r="F801" s="101"/>
      <c r="G801" s="101"/>
      <c r="H801" s="101"/>
      <c r="I801" s="27">
        <f t="shared" si="149"/>
        <v>0</v>
      </c>
      <c r="J801" s="28">
        <f t="shared" si="150"/>
        <v>0</v>
      </c>
      <c r="K801" s="29">
        <f t="shared" si="151"/>
        <v>0</v>
      </c>
      <c r="L801" s="96"/>
      <c r="M801" s="86">
        <v>1</v>
      </c>
    </row>
    <row r="802" s="86" customFormat="1" ht="72" customHeight="1" outlineLevel="2" spans="1:15">
      <c r="A802" s="103">
        <f t="shared" si="148"/>
        <v>7</v>
      </c>
      <c r="B802" s="98" t="s">
        <v>105</v>
      </c>
      <c r="C802" s="99" t="s">
        <v>106</v>
      </c>
      <c r="D802" s="100" t="s">
        <v>58</v>
      </c>
      <c r="E802" s="101">
        <f>16.7+13.75*0.3+3.6*0.4</f>
        <v>22.265</v>
      </c>
      <c r="F802" s="101"/>
      <c r="G802" s="101"/>
      <c r="H802" s="101"/>
      <c r="I802" s="27">
        <f t="shared" si="149"/>
        <v>0</v>
      </c>
      <c r="J802" s="28">
        <f t="shared" si="150"/>
        <v>0</v>
      </c>
      <c r="K802" s="29">
        <f t="shared" si="151"/>
        <v>0</v>
      </c>
      <c r="L802" s="96"/>
      <c r="M802" s="86">
        <v>1</v>
      </c>
    </row>
    <row r="803" s="86" customFormat="1" ht="24" customHeight="1" outlineLevel="1" spans="1:15">
      <c r="A803" s="97"/>
      <c r="B803" s="98" t="s">
        <v>107</v>
      </c>
      <c r="C803" s="99"/>
      <c r="D803" s="100"/>
      <c r="E803" s="101"/>
      <c r="F803" s="101"/>
      <c r="G803" s="101"/>
      <c r="H803" s="101"/>
      <c r="I803" s="101"/>
      <c r="J803" s="101"/>
      <c r="K803" s="102"/>
      <c r="L803" s="96"/>
      <c r="O803" s="86" t="s">
        <v>372</v>
      </c>
    </row>
    <row r="804" s="86" customFormat="1" ht="24" customHeight="1" outlineLevel="1" spans="1:15">
      <c r="A804" s="92" t="s">
        <v>373</v>
      </c>
      <c r="B804" s="93" t="s">
        <v>374</v>
      </c>
      <c r="C804" s="93"/>
      <c r="D804" s="94"/>
      <c r="E804" s="95"/>
      <c r="F804" s="95"/>
      <c r="G804" s="95"/>
      <c r="H804" s="95"/>
      <c r="I804" s="95"/>
      <c r="J804" s="95"/>
      <c r="K804" s="23"/>
      <c r="L804" s="96"/>
      <c r="O804" s="86" t="str">
        <f>_xlfn.DISPIMG("ID_26772D558EF748CABF8F4CA7FDFBC7AE",1)</f>
        <v>=DISPIMG("ID_26772D558EF748CABF8F4CA7FDFBC7AE",1)</v>
      </c>
    </row>
    <row r="805" s="86" customFormat="1" ht="24" customHeight="1" outlineLevel="1" spans="1:15">
      <c r="A805" s="97"/>
      <c r="B805" s="98" t="s">
        <v>55</v>
      </c>
      <c r="C805" s="99"/>
      <c r="D805" s="100"/>
      <c r="E805" s="101"/>
      <c r="F805" s="101"/>
      <c r="G805" s="101"/>
      <c r="H805" s="101"/>
      <c r="I805" s="101"/>
      <c r="J805" s="101"/>
      <c r="K805" s="102"/>
      <c r="L805" s="96"/>
    </row>
    <row r="806" s="86" customFormat="1" ht="96" outlineLevel="2" spans="1:15">
      <c r="A806" s="103">
        <f>1+N(A805)</f>
        <v>1</v>
      </c>
      <c r="B806" s="98" t="s">
        <v>375</v>
      </c>
      <c r="C806" s="99" t="s">
        <v>376</v>
      </c>
      <c r="D806" s="100" t="s">
        <v>58</v>
      </c>
      <c r="E806" s="101">
        <v>4.4</v>
      </c>
      <c r="F806" s="101"/>
      <c r="G806" s="101"/>
      <c r="H806" s="27"/>
      <c r="I806" s="27">
        <f>(F806+G806+H806)*$I$3</f>
        <v>0</v>
      </c>
      <c r="J806" s="28">
        <f>ROUND(SUM(F806:I806),2)</f>
        <v>0</v>
      </c>
      <c r="K806" s="29">
        <f>ROUND(J806*E806,2)</f>
        <v>0</v>
      </c>
      <c r="L806" s="96"/>
      <c r="M806" s="86">
        <v>1</v>
      </c>
    </row>
    <row r="807" s="86" customFormat="1" ht="72" outlineLevel="2" spans="1:15">
      <c r="A807" s="103">
        <f>1+N(A806)</f>
        <v>2</v>
      </c>
      <c r="B807" s="98" t="s">
        <v>320</v>
      </c>
      <c r="C807" s="99" t="s">
        <v>377</v>
      </c>
      <c r="D807" s="100" t="s">
        <v>58</v>
      </c>
      <c r="E807" s="101">
        <v>52.36</v>
      </c>
      <c r="F807" s="101"/>
      <c r="G807" s="101"/>
      <c r="H807" s="101"/>
      <c r="I807" s="27">
        <f>(F807+G807+H807)*$I$3</f>
        <v>0</v>
      </c>
      <c r="J807" s="28">
        <f>ROUND(SUM(F807:I807),2)</f>
        <v>0</v>
      </c>
      <c r="K807" s="29">
        <f>ROUND(J807*E807,2)</f>
        <v>0</v>
      </c>
      <c r="L807" s="96"/>
      <c r="M807" s="86">
        <v>1</v>
      </c>
    </row>
    <row r="808" s="86" customFormat="1" ht="60" outlineLevel="2" spans="1:15">
      <c r="A808" s="103">
        <f>1+N(A807)</f>
        <v>3</v>
      </c>
      <c r="B808" s="98" t="s">
        <v>163</v>
      </c>
      <c r="C808" s="99" t="s">
        <v>301</v>
      </c>
      <c r="D808" s="100" t="s">
        <v>58</v>
      </c>
      <c r="E808" s="101">
        <v>52.36</v>
      </c>
      <c r="F808" s="101"/>
      <c r="G808" s="101"/>
      <c r="H808" s="101"/>
      <c r="I808" s="27">
        <f>(F808+G808+H808)*$I$3</f>
        <v>0</v>
      </c>
      <c r="J808" s="28">
        <f>ROUND(SUM(F808:I808),2)</f>
        <v>0</v>
      </c>
      <c r="K808" s="29">
        <f>ROUND(J808*E808,2)</f>
        <v>0</v>
      </c>
      <c r="L808" s="96"/>
      <c r="M808" s="86">
        <v>1</v>
      </c>
    </row>
    <row r="809" s="86" customFormat="1" ht="48" outlineLevel="2" spans="1:15">
      <c r="A809" s="103">
        <f>1+N(A808)</f>
        <v>4</v>
      </c>
      <c r="B809" s="98" t="s">
        <v>66</v>
      </c>
      <c r="C809" s="99" t="s">
        <v>67</v>
      </c>
      <c r="D809" s="100" t="s">
        <v>58</v>
      </c>
      <c r="E809" s="101">
        <v>4.4</v>
      </c>
      <c r="F809" s="101"/>
      <c r="G809" s="101"/>
      <c r="H809" s="101"/>
      <c r="I809" s="27">
        <f>(F809+G809+H809)*$I$3</f>
        <v>0</v>
      </c>
      <c r="J809" s="28">
        <f>ROUND(SUM(F809:I809),2)</f>
        <v>0</v>
      </c>
      <c r="K809" s="29">
        <f>ROUND(J809*E809,2)</f>
        <v>0</v>
      </c>
      <c r="L809" s="96"/>
      <c r="M809" s="86">
        <v>1</v>
      </c>
    </row>
    <row r="810" s="86" customFormat="1" ht="36" outlineLevel="2" spans="1:15">
      <c r="A810" s="103">
        <f>1+N(A809)</f>
        <v>5</v>
      </c>
      <c r="B810" s="98" t="s">
        <v>63</v>
      </c>
      <c r="C810" s="99" t="s">
        <v>64</v>
      </c>
      <c r="D810" s="100" t="s">
        <v>65</v>
      </c>
      <c r="E810" s="101">
        <v>3.6</v>
      </c>
      <c r="F810" s="101"/>
      <c r="G810" s="101"/>
      <c r="H810" s="101"/>
      <c r="I810" s="27">
        <f>(F810+G810+H810)*$I$3</f>
        <v>0</v>
      </c>
      <c r="J810" s="28">
        <f>ROUND(SUM(F810:I810),2)</f>
        <v>0</v>
      </c>
      <c r="K810" s="29">
        <f>ROUND(J810*E810,2)</f>
        <v>0</v>
      </c>
      <c r="L810" s="96"/>
      <c r="M810" s="86">
        <v>1</v>
      </c>
    </row>
    <row r="811" s="86" customFormat="1" ht="24" customHeight="1" outlineLevel="1" spans="1:15">
      <c r="A811" s="97"/>
      <c r="B811" s="98" t="s">
        <v>68</v>
      </c>
      <c r="C811" s="99"/>
      <c r="D811" s="100"/>
      <c r="E811" s="101"/>
      <c r="F811" s="101"/>
      <c r="G811" s="101"/>
      <c r="H811" s="101"/>
      <c r="I811" s="101"/>
      <c r="J811" s="101"/>
      <c r="K811" s="102"/>
      <c r="L811" s="96"/>
    </row>
    <row r="812" s="86" customFormat="1" ht="60" customHeight="1" outlineLevel="2" spans="1:15">
      <c r="A812" s="103">
        <f t="shared" ref="A812:A817" si="152">1+N(A811)</f>
        <v>1</v>
      </c>
      <c r="B812" s="104" t="s">
        <v>282</v>
      </c>
      <c r="C812" s="99" t="s">
        <v>283</v>
      </c>
      <c r="D812" s="100" t="s">
        <v>58</v>
      </c>
      <c r="E812" s="101">
        <v>58.223</v>
      </c>
      <c r="F812" s="101"/>
      <c r="G812" s="101"/>
      <c r="H812" s="101"/>
      <c r="I812" s="27">
        <f t="shared" ref="I812:I817" si="153">(F812+G812+H812)*$I$3</f>
        <v>0</v>
      </c>
      <c r="J812" s="28">
        <f t="shared" ref="J812:J817" si="154">ROUND(SUM(F812:I812),2)</f>
        <v>0</v>
      </c>
      <c r="K812" s="29">
        <f t="shared" ref="K812:K817" si="155">ROUND(J812*E812,2)</f>
        <v>0</v>
      </c>
      <c r="L812" s="96"/>
      <c r="M812" s="86">
        <v>1</v>
      </c>
    </row>
    <row r="813" s="86" customFormat="1" ht="60" customHeight="1" outlineLevel="2" spans="1:15">
      <c r="A813" s="103">
        <f t="shared" si="152"/>
        <v>2</v>
      </c>
      <c r="B813" s="98" t="s">
        <v>169</v>
      </c>
      <c r="C813" s="99" t="s">
        <v>257</v>
      </c>
      <c r="D813" s="100" t="s">
        <v>58</v>
      </c>
      <c r="E813" s="101">
        <v>12.585</v>
      </c>
      <c r="F813" s="101"/>
      <c r="G813" s="101"/>
      <c r="H813" s="101"/>
      <c r="I813" s="27">
        <f t="shared" si="153"/>
        <v>0</v>
      </c>
      <c r="J813" s="28">
        <f t="shared" si="154"/>
        <v>0</v>
      </c>
      <c r="K813" s="29">
        <f t="shared" si="155"/>
        <v>0</v>
      </c>
      <c r="L813" s="96"/>
      <c r="M813" s="86">
        <v>1</v>
      </c>
    </row>
    <row r="814" s="86" customFormat="1" ht="60" customHeight="1" outlineLevel="2" spans="1:15">
      <c r="A814" s="103">
        <f t="shared" si="152"/>
        <v>3</v>
      </c>
      <c r="B814" s="98" t="s">
        <v>378</v>
      </c>
      <c r="C814" s="99" t="s">
        <v>379</v>
      </c>
      <c r="D814" s="100" t="s">
        <v>58</v>
      </c>
      <c r="E814" s="101">
        <v>11.778</v>
      </c>
      <c r="F814" s="101"/>
      <c r="G814" s="101"/>
      <c r="H814" s="101"/>
      <c r="I814" s="27">
        <f t="shared" si="153"/>
        <v>0</v>
      </c>
      <c r="J814" s="28">
        <f t="shared" si="154"/>
        <v>0</v>
      </c>
      <c r="K814" s="29">
        <f t="shared" si="155"/>
        <v>0</v>
      </c>
      <c r="L814" s="96"/>
      <c r="M814" s="86">
        <v>1</v>
      </c>
    </row>
    <row r="815" s="86" customFormat="1" ht="60" customHeight="1" outlineLevel="2" spans="1:15">
      <c r="A815" s="103">
        <f t="shared" si="152"/>
        <v>4</v>
      </c>
      <c r="B815" s="98" t="s">
        <v>186</v>
      </c>
      <c r="C815" s="99" t="s">
        <v>286</v>
      </c>
      <c r="D815" s="100" t="s">
        <v>58</v>
      </c>
      <c r="E815" s="101">
        <v>19.721</v>
      </c>
      <c r="F815" s="101"/>
      <c r="G815" s="101"/>
      <c r="H815" s="101"/>
      <c r="I815" s="27">
        <f t="shared" si="153"/>
        <v>0</v>
      </c>
      <c r="J815" s="28">
        <f t="shared" si="154"/>
        <v>0</v>
      </c>
      <c r="K815" s="29">
        <f t="shared" si="155"/>
        <v>0</v>
      </c>
      <c r="L815" s="96"/>
      <c r="M815" s="86">
        <v>1</v>
      </c>
    </row>
    <row r="816" s="86" customFormat="1" ht="60" customHeight="1" outlineLevel="2" spans="1:15">
      <c r="A816" s="103">
        <f t="shared" si="152"/>
        <v>5</v>
      </c>
      <c r="B816" s="98" t="s">
        <v>86</v>
      </c>
      <c r="C816" s="99" t="s">
        <v>87</v>
      </c>
      <c r="D816" s="100" t="s">
        <v>65</v>
      </c>
      <c r="E816" s="101">
        <v>27.04</v>
      </c>
      <c r="F816" s="101"/>
      <c r="G816" s="101"/>
      <c r="H816" s="101"/>
      <c r="I816" s="27">
        <f t="shared" si="153"/>
        <v>0</v>
      </c>
      <c r="J816" s="28">
        <f t="shared" si="154"/>
        <v>0</v>
      </c>
      <c r="K816" s="29">
        <f t="shared" si="155"/>
        <v>0</v>
      </c>
      <c r="L816" s="96"/>
      <c r="M816" s="86">
        <v>1</v>
      </c>
    </row>
    <row r="817" s="86" customFormat="1" ht="60" customHeight="1" outlineLevel="2" spans="1:13">
      <c r="A817" s="103">
        <f t="shared" si="152"/>
        <v>6</v>
      </c>
      <c r="B817" s="98" t="s">
        <v>234</v>
      </c>
      <c r="C817" s="99" t="s">
        <v>235</v>
      </c>
      <c r="D817" s="105" t="s">
        <v>58</v>
      </c>
      <c r="E817" s="101">
        <f>(7.26+7.66+7.76)*0.095</f>
        <v>2.1546</v>
      </c>
      <c r="F817" s="101"/>
      <c r="G817" s="101"/>
      <c r="H817" s="101"/>
      <c r="I817" s="27">
        <f t="shared" si="153"/>
        <v>0</v>
      </c>
      <c r="J817" s="28">
        <f t="shared" si="154"/>
        <v>0</v>
      </c>
      <c r="K817" s="29">
        <f t="shared" si="155"/>
        <v>0</v>
      </c>
      <c r="L817" s="96"/>
      <c r="M817" s="86">
        <v>1</v>
      </c>
    </row>
    <row r="818" s="86" customFormat="1" ht="24" customHeight="1" outlineLevel="1" spans="1:13">
      <c r="A818" s="97"/>
      <c r="B818" s="98" t="s">
        <v>96</v>
      </c>
      <c r="C818" s="99"/>
      <c r="D818" s="100"/>
      <c r="E818" s="101"/>
      <c r="F818" s="101"/>
      <c r="G818" s="101"/>
      <c r="H818" s="101"/>
      <c r="I818" s="101"/>
      <c r="J818" s="101"/>
      <c r="K818" s="102"/>
      <c r="L818" s="96"/>
    </row>
    <row r="819" s="86" customFormat="1" ht="96" outlineLevel="2" spans="1:13">
      <c r="A819" s="103">
        <f t="shared" ref="A819:A825" si="156">1+N(A818)</f>
        <v>1</v>
      </c>
      <c r="B819" s="98" t="s">
        <v>97</v>
      </c>
      <c r="C819" s="108" t="s">
        <v>98</v>
      </c>
      <c r="D819" s="100" t="s">
        <v>58</v>
      </c>
      <c r="E819" s="101">
        <f>56.76-3.3</f>
        <v>53.46</v>
      </c>
      <c r="F819" s="101"/>
      <c r="G819" s="101"/>
      <c r="H819" s="101"/>
      <c r="I819" s="27">
        <f t="shared" ref="I819:I825" si="157">(F819+G819+H819)*$I$3</f>
        <v>0</v>
      </c>
      <c r="J819" s="28">
        <f t="shared" ref="J819:J825" si="158">ROUND(SUM(F819:I819),2)</f>
        <v>0</v>
      </c>
      <c r="K819" s="29">
        <f t="shared" ref="K819:K825" si="159">ROUND(J819*E819,2)</f>
        <v>0</v>
      </c>
      <c r="L819" s="96"/>
      <c r="M819" s="86">
        <v>1</v>
      </c>
    </row>
    <row r="820" s="86" customFormat="1" ht="72" customHeight="1" outlineLevel="2" spans="1:13">
      <c r="A820" s="103">
        <f t="shared" si="156"/>
        <v>2</v>
      </c>
      <c r="B820" s="98" t="s">
        <v>380</v>
      </c>
      <c r="C820" s="108" t="s">
        <v>381</v>
      </c>
      <c r="D820" s="100" t="s">
        <v>58</v>
      </c>
      <c r="E820" s="101">
        <v>3.3</v>
      </c>
      <c r="F820" s="101"/>
      <c r="G820" s="101"/>
      <c r="H820" s="101"/>
      <c r="I820" s="27">
        <f t="shared" si="157"/>
        <v>0</v>
      </c>
      <c r="J820" s="28">
        <f t="shared" si="158"/>
        <v>0</v>
      </c>
      <c r="K820" s="29">
        <f t="shared" si="159"/>
        <v>0</v>
      </c>
      <c r="L820" s="96"/>
      <c r="M820" s="86">
        <v>1</v>
      </c>
    </row>
    <row r="821" s="86" customFormat="1" ht="72" customHeight="1" outlineLevel="2" spans="1:13">
      <c r="A821" s="103">
        <f t="shared" si="156"/>
        <v>3</v>
      </c>
      <c r="B821" s="98" t="s">
        <v>99</v>
      </c>
      <c r="C821" s="108" t="s">
        <v>100</v>
      </c>
      <c r="D821" s="100" t="s">
        <v>65</v>
      </c>
      <c r="E821" s="101">
        <v>19.08</v>
      </c>
      <c r="F821" s="101"/>
      <c r="G821" s="101"/>
      <c r="H821" s="101"/>
      <c r="I821" s="27">
        <f t="shared" si="157"/>
        <v>0</v>
      </c>
      <c r="J821" s="28">
        <f t="shared" si="158"/>
        <v>0</v>
      </c>
      <c r="K821" s="29">
        <f t="shared" si="159"/>
        <v>0</v>
      </c>
      <c r="L821" s="96"/>
      <c r="M821" s="86">
        <v>1</v>
      </c>
    </row>
    <row r="822" s="86" customFormat="1" ht="72" customHeight="1" outlineLevel="2" spans="1:13">
      <c r="A822" s="103">
        <f t="shared" si="156"/>
        <v>4</v>
      </c>
      <c r="B822" s="98" t="s">
        <v>101</v>
      </c>
      <c r="C822" s="99" t="s">
        <v>102</v>
      </c>
      <c r="D822" s="100" t="s">
        <v>65</v>
      </c>
      <c r="E822" s="101">
        <v>19.08</v>
      </c>
      <c r="F822" s="101"/>
      <c r="G822" s="101"/>
      <c r="H822" s="101"/>
      <c r="I822" s="27">
        <f t="shared" si="157"/>
        <v>0</v>
      </c>
      <c r="J822" s="28">
        <f t="shared" si="158"/>
        <v>0</v>
      </c>
      <c r="K822" s="29">
        <f t="shared" si="159"/>
        <v>0</v>
      </c>
      <c r="L822" s="96"/>
      <c r="M822" s="86">
        <v>1</v>
      </c>
    </row>
    <row r="823" s="86" customFormat="1" ht="72" customHeight="1" outlineLevel="2" spans="1:13">
      <c r="A823" s="103">
        <f t="shared" si="156"/>
        <v>5</v>
      </c>
      <c r="B823" s="98" t="s">
        <v>263</v>
      </c>
      <c r="C823" s="99" t="s">
        <v>264</v>
      </c>
      <c r="D823" s="100" t="s">
        <v>65</v>
      </c>
      <c r="E823" s="101">
        <v>6.95</v>
      </c>
      <c r="F823" s="101"/>
      <c r="G823" s="101"/>
      <c r="H823" s="101"/>
      <c r="I823" s="27">
        <f t="shared" si="157"/>
        <v>0</v>
      </c>
      <c r="J823" s="28">
        <f t="shared" si="158"/>
        <v>0</v>
      </c>
      <c r="K823" s="29">
        <f t="shared" si="159"/>
        <v>0</v>
      </c>
      <c r="L823" s="96"/>
      <c r="M823" s="86">
        <v>1</v>
      </c>
    </row>
    <row r="824" s="86" customFormat="1" ht="72" customHeight="1" outlineLevel="2" spans="1:13">
      <c r="A824" s="103">
        <f t="shared" si="156"/>
        <v>6</v>
      </c>
      <c r="B824" s="98" t="s">
        <v>103</v>
      </c>
      <c r="C824" s="99" t="s">
        <v>104</v>
      </c>
      <c r="D824" s="100" t="s">
        <v>65</v>
      </c>
      <c r="E824" s="101">
        <v>4.1</v>
      </c>
      <c r="F824" s="101"/>
      <c r="G824" s="101"/>
      <c r="H824" s="101"/>
      <c r="I824" s="27">
        <f t="shared" si="157"/>
        <v>0</v>
      </c>
      <c r="J824" s="28">
        <f t="shared" si="158"/>
        <v>0</v>
      </c>
      <c r="K824" s="29">
        <f t="shared" si="159"/>
        <v>0</v>
      </c>
      <c r="L824" s="96"/>
      <c r="M824" s="86">
        <v>1</v>
      </c>
    </row>
    <row r="825" s="86" customFormat="1" ht="72" customHeight="1" outlineLevel="2" spans="1:13">
      <c r="A825" s="103">
        <f t="shared" si="156"/>
        <v>7</v>
      </c>
      <c r="B825" s="98" t="s">
        <v>105</v>
      </c>
      <c r="C825" s="99" t="s">
        <v>106</v>
      </c>
      <c r="D825" s="100" t="s">
        <v>58</v>
      </c>
      <c r="E825" s="101">
        <f>53.46+19.08*0.3+6.95*0.4</f>
        <v>61.964</v>
      </c>
      <c r="F825" s="101"/>
      <c r="G825" s="101"/>
      <c r="H825" s="101"/>
      <c r="I825" s="27">
        <f t="shared" si="157"/>
        <v>0</v>
      </c>
      <c r="J825" s="28">
        <f t="shared" si="158"/>
        <v>0</v>
      </c>
      <c r="K825" s="29">
        <f t="shared" si="159"/>
        <v>0</v>
      </c>
      <c r="L825" s="96"/>
      <c r="M825" s="86">
        <v>1</v>
      </c>
    </row>
    <row r="826" s="86" customFormat="1" ht="24" customHeight="1" outlineLevel="1" spans="1:13">
      <c r="A826" s="97"/>
      <c r="B826" s="98" t="s">
        <v>107</v>
      </c>
      <c r="C826" s="99"/>
      <c r="D826" s="100"/>
      <c r="E826" s="101"/>
      <c r="F826" s="101"/>
      <c r="G826" s="101"/>
      <c r="H826" s="101"/>
      <c r="I826" s="101"/>
      <c r="J826" s="101"/>
      <c r="K826" s="102"/>
      <c r="L826" s="96"/>
    </row>
    <row r="827" s="86" customFormat="1" ht="72" outlineLevel="2" spans="1:13">
      <c r="A827" s="103">
        <f t="shared" ref="A827:A833" si="160">1+N(A826)</f>
        <v>1</v>
      </c>
      <c r="B827" s="98" t="s">
        <v>382</v>
      </c>
      <c r="C827" s="99" t="s">
        <v>383</v>
      </c>
      <c r="D827" s="100" t="s">
        <v>58</v>
      </c>
      <c r="E827" s="101">
        <f>1.97*3.4</f>
        <v>6.698</v>
      </c>
      <c r="F827" s="101"/>
      <c r="G827" s="101"/>
      <c r="H827" s="101"/>
      <c r="I827" s="27">
        <f t="shared" ref="I827:I833" si="161">(F827+G827+H827)*$I$3</f>
        <v>0</v>
      </c>
      <c r="J827" s="28">
        <f t="shared" ref="J827:J833" si="162">ROUND(SUM(F827:I827),2)</f>
        <v>0</v>
      </c>
      <c r="K827" s="29">
        <f t="shared" ref="K827:K833" si="163">ROUND(J827*E827,2)</f>
        <v>0</v>
      </c>
      <c r="L827" s="96"/>
      <c r="M827" s="86">
        <v>1</v>
      </c>
    </row>
    <row r="828" s="86" customFormat="1" ht="48" outlineLevel="2" spans="1:13">
      <c r="A828" s="103">
        <f t="shared" si="160"/>
        <v>2</v>
      </c>
      <c r="B828" s="98" t="s">
        <v>384</v>
      </c>
      <c r="C828" s="99" t="s">
        <v>385</v>
      </c>
      <c r="D828" s="100" t="s">
        <v>58</v>
      </c>
      <c r="E828" s="101">
        <f>0.83*3.4</f>
        <v>2.822</v>
      </c>
      <c r="F828" s="101"/>
      <c r="G828" s="101"/>
      <c r="H828" s="101"/>
      <c r="I828" s="27">
        <f t="shared" si="161"/>
        <v>0</v>
      </c>
      <c r="J828" s="28">
        <f t="shared" si="162"/>
        <v>0</v>
      </c>
      <c r="K828" s="29">
        <f t="shared" si="163"/>
        <v>0</v>
      </c>
      <c r="L828" s="96"/>
      <c r="M828" s="86">
        <v>1</v>
      </c>
    </row>
    <row r="829" s="86" customFormat="1" ht="60" outlineLevel="2" spans="1:13">
      <c r="A829" s="103">
        <f t="shared" si="160"/>
        <v>3</v>
      </c>
      <c r="B829" s="98" t="s">
        <v>386</v>
      </c>
      <c r="C829" s="99" t="s">
        <v>291</v>
      </c>
      <c r="D829" s="100" t="s">
        <v>58</v>
      </c>
      <c r="E829" s="101">
        <f>1*3.4</f>
        <v>3.4</v>
      </c>
      <c r="F829" s="101"/>
      <c r="G829" s="101"/>
      <c r="H829" s="101"/>
      <c r="I829" s="27">
        <f t="shared" si="161"/>
        <v>0</v>
      </c>
      <c r="J829" s="28">
        <f t="shared" si="162"/>
        <v>0</v>
      </c>
      <c r="K829" s="29">
        <f t="shared" si="163"/>
        <v>0</v>
      </c>
      <c r="L829" s="96"/>
      <c r="M829" s="86">
        <v>1</v>
      </c>
    </row>
    <row r="830" s="86" customFormat="1" ht="48" outlineLevel="2" spans="1:13">
      <c r="A830" s="103">
        <f t="shared" si="160"/>
        <v>4</v>
      </c>
      <c r="B830" s="98" t="s">
        <v>132</v>
      </c>
      <c r="C830" s="99" t="s">
        <v>133</v>
      </c>
      <c r="D830" s="100" t="s">
        <v>58</v>
      </c>
      <c r="E830" s="101">
        <f>4*0.8*3.1</f>
        <v>9.92</v>
      </c>
      <c r="F830" s="101"/>
      <c r="G830" s="101"/>
      <c r="H830" s="101"/>
      <c r="I830" s="27">
        <f t="shared" si="161"/>
        <v>0</v>
      </c>
      <c r="J830" s="28">
        <f t="shared" si="162"/>
        <v>0</v>
      </c>
      <c r="K830" s="29">
        <f t="shared" si="163"/>
        <v>0</v>
      </c>
      <c r="L830" s="96"/>
      <c r="M830" s="86">
        <v>1</v>
      </c>
    </row>
    <row r="831" s="86" customFormat="1" ht="60" outlineLevel="2" spans="1:13">
      <c r="A831" s="103">
        <f t="shared" si="160"/>
        <v>5</v>
      </c>
      <c r="B831" s="98" t="s">
        <v>387</v>
      </c>
      <c r="C831" s="99" t="s">
        <v>388</v>
      </c>
      <c r="D831" s="100" t="s">
        <v>58</v>
      </c>
      <c r="E831" s="101">
        <f>1.4*3.4</f>
        <v>4.76</v>
      </c>
      <c r="F831" s="101"/>
      <c r="G831" s="101"/>
      <c r="H831" s="101"/>
      <c r="I831" s="27">
        <f t="shared" si="161"/>
        <v>0</v>
      </c>
      <c r="J831" s="28">
        <f t="shared" si="162"/>
        <v>0</v>
      </c>
      <c r="K831" s="29">
        <f t="shared" si="163"/>
        <v>0</v>
      </c>
      <c r="L831" s="96"/>
      <c r="M831" s="86">
        <v>1</v>
      </c>
    </row>
    <row r="832" s="86" customFormat="1" ht="60" outlineLevel="2" spans="1:13">
      <c r="A832" s="103">
        <f t="shared" si="160"/>
        <v>6</v>
      </c>
      <c r="B832" s="98" t="s">
        <v>389</v>
      </c>
      <c r="C832" s="99" t="s">
        <v>390</v>
      </c>
      <c r="D832" s="100" t="s">
        <v>58</v>
      </c>
      <c r="E832" s="101">
        <f>1.1*2.02</f>
        <v>2.222</v>
      </c>
      <c r="F832" s="101"/>
      <c r="G832" s="101"/>
      <c r="H832" s="101"/>
      <c r="I832" s="27">
        <f t="shared" si="161"/>
        <v>0</v>
      </c>
      <c r="J832" s="28">
        <f t="shared" si="162"/>
        <v>0</v>
      </c>
      <c r="K832" s="29">
        <f t="shared" si="163"/>
        <v>0</v>
      </c>
      <c r="L832" s="96"/>
      <c r="M832" s="86">
        <v>1</v>
      </c>
    </row>
    <row r="833" s="86" customFormat="1" ht="72" outlineLevel="2" spans="1:15">
      <c r="A833" s="103">
        <f t="shared" si="160"/>
        <v>7</v>
      </c>
      <c r="B833" s="98" t="s">
        <v>391</v>
      </c>
      <c r="C833" s="99" t="s">
        <v>392</v>
      </c>
      <c r="D833" s="100" t="s">
        <v>65</v>
      </c>
      <c r="E833" s="101">
        <v>1.64</v>
      </c>
      <c r="F833" s="101"/>
      <c r="G833" s="101"/>
      <c r="H833" s="101"/>
      <c r="I833" s="27">
        <f t="shared" si="161"/>
        <v>0</v>
      </c>
      <c r="J833" s="28">
        <f t="shared" si="162"/>
        <v>0</v>
      </c>
      <c r="K833" s="29">
        <f t="shared" si="163"/>
        <v>0</v>
      </c>
      <c r="L833" s="96"/>
      <c r="M833" s="86">
        <v>1</v>
      </c>
    </row>
    <row r="834" s="86" customFormat="1" ht="24" customHeight="1" outlineLevel="1" spans="1:15">
      <c r="A834" s="92" t="s">
        <v>393</v>
      </c>
      <c r="B834" s="93" t="s">
        <v>394</v>
      </c>
      <c r="C834" s="119"/>
      <c r="D834" s="94"/>
      <c r="E834" s="95"/>
      <c r="F834" s="95"/>
      <c r="G834" s="95"/>
      <c r="H834" s="95"/>
      <c r="I834" s="95"/>
      <c r="J834" s="95"/>
      <c r="K834" s="23"/>
      <c r="L834" s="96"/>
      <c r="O834" s="86" t="str">
        <f>_xlfn.DISPIMG("ID_F6DAD87C6F484C429ADAAC7CB59B11E6",1)</f>
        <v>=DISPIMG("ID_F6DAD87C6F484C429ADAAC7CB59B11E6",1)</v>
      </c>
    </row>
    <row r="835" s="86" customFormat="1" ht="24" customHeight="1" outlineLevel="1" spans="1:15">
      <c r="A835" s="97"/>
      <c r="B835" s="98" t="s">
        <v>55</v>
      </c>
      <c r="C835" s="99"/>
      <c r="D835" s="100"/>
      <c r="E835" s="101"/>
      <c r="F835" s="101"/>
      <c r="G835" s="101"/>
      <c r="H835" s="101"/>
      <c r="I835" s="101"/>
      <c r="J835" s="101"/>
      <c r="K835" s="102"/>
      <c r="L835" s="96"/>
    </row>
    <row r="836" s="86" customFormat="1" ht="60" customHeight="1" outlineLevel="2" spans="1:15">
      <c r="A836" s="103">
        <f t="shared" ref="A836:A841" si="164">1+N(A835)</f>
        <v>1</v>
      </c>
      <c r="B836" s="98" t="s">
        <v>178</v>
      </c>
      <c r="C836" s="99" t="s">
        <v>179</v>
      </c>
      <c r="D836" s="100" t="s">
        <v>58</v>
      </c>
      <c r="E836" s="101">
        <v>6.6</v>
      </c>
      <c r="F836" s="101"/>
      <c r="G836" s="101"/>
      <c r="H836" s="101"/>
      <c r="I836" s="27">
        <f t="shared" ref="I836:I841" si="165">(F836+G836+H836)*$I$3</f>
        <v>0</v>
      </c>
      <c r="J836" s="28">
        <f t="shared" ref="J836:J841" si="166">ROUND(SUM(F836:I836),2)</f>
        <v>0</v>
      </c>
      <c r="K836" s="29">
        <f t="shared" ref="K836:K841" si="167">ROUND(J836*E836,2)</f>
        <v>0</v>
      </c>
      <c r="L836" s="96"/>
      <c r="M836" s="86">
        <v>1</v>
      </c>
    </row>
    <row r="837" s="86" customFormat="1" ht="60" customHeight="1" outlineLevel="2" spans="1:15">
      <c r="A837" s="103">
        <f t="shared" si="164"/>
        <v>2</v>
      </c>
      <c r="B837" s="98" t="s">
        <v>180</v>
      </c>
      <c r="C837" s="99" t="s">
        <v>181</v>
      </c>
      <c r="D837" s="100" t="s">
        <v>58</v>
      </c>
      <c r="E837" s="101">
        <v>6.6</v>
      </c>
      <c r="F837" s="101"/>
      <c r="G837" s="101"/>
      <c r="H837" s="101"/>
      <c r="I837" s="27">
        <f t="shared" si="165"/>
        <v>0</v>
      </c>
      <c r="J837" s="28">
        <f t="shared" si="166"/>
        <v>0</v>
      </c>
      <c r="K837" s="29">
        <f t="shared" si="167"/>
        <v>0</v>
      </c>
      <c r="L837" s="96"/>
      <c r="M837" s="86">
        <v>1</v>
      </c>
    </row>
    <row r="838" s="86" customFormat="1" ht="48" customHeight="1" outlineLevel="2" spans="1:15">
      <c r="A838" s="103">
        <f t="shared" si="164"/>
        <v>3</v>
      </c>
      <c r="B838" s="98" t="s">
        <v>182</v>
      </c>
      <c r="C838" s="99" t="s">
        <v>183</v>
      </c>
      <c r="D838" s="100" t="s">
        <v>58</v>
      </c>
      <c r="E838" s="101">
        <v>6.6</v>
      </c>
      <c r="F838" s="101"/>
      <c r="G838" s="101"/>
      <c r="H838" s="101"/>
      <c r="I838" s="27">
        <f t="shared" si="165"/>
        <v>0</v>
      </c>
      <c r="J838" s="28">
        <f t="shared" si="166"/>
        <v>0</v>
      </c>
      <c r="K838" s="29">
        <f t="shared" si="167"/>
        <v>0</v>
      </c>
      <c r="L838" s="96"/>
      <c r="M838" s="86">
        <v>1</v>
      </c>
    </row>
    <row r="839" s="86" customFormat="1" ht="48" customHeight="1" outlineLevel="2" spans="1:15">
      <c r="A839" s="103">
        <f t="shared" si="164"/>
        <v>4</v>
      </c>
      <c r="B839" s="104" t="s">
        <v>184</v>
      </c>
      <c r="C839" s="113" t="s">
        <v>185</v>
      </c>
      <c r="D839" s="100" t="s">
        <v>58</v>
      </c>
      <c r="E839" s="101">
        <v>6.6</v>
      </c>
      <c r="F839" s="101"/>
      <c r="G839" s="101"/>
      <c r="H839" s="101"/>
      <c r="I839" s="27">
        <f t="shared" si="165"/>
        <v>0</v>
      </c>
      <c r="J839" s="28">
        <f t="shared" si="166"/>
        <v>0</v>
      </c>
      <c r="K839" s="29">
        <f t="shared" si="167"/>
        <v>0</v>
      </c>
      <c r="L839" s="96"/>
      <c r="M839" s="86">
        <v>1</v>
      </c>
    </row>
    <row r="840" s="86" customFormat="1" ht="84" customHeight="1" outlineLevel="2" spans="1:15">
      <c r="A840" s="103">
        <f t="shared" si="164"/>
        <v>5</v>
      </c>
      <c r="B840" s="98" t="s">
        <v>375</v>
      </c>
      <c r="C840" s="99" t="s">
        <v>376</v>
      </c>
      <c r="D840" s="100" t="s">
        <v>58</v>
      </c>
      <c r="E840" s="101">
        <v>6.6</v>
      </c>
      <c r="F840" s="101"/>
      <c r="G840" s="101"/>
      <c r="H840" s="27"/>
      <c r="I840" s="27">
        <f t="shared" si="165"/>
        <v>0</v>
      </c>
      <c r="J840" s="28">
        <f t="shared" si="166"/>
        <v>0</v>
      </c>
      <c r="K840" s="29">
        <f t="shared" si="167"/>
        <v>0</v>
      </c>
      <c r="L840" s="96"/>
      <c r="M840" s="86">
        <v>1</v>
      </c>
    </row>
    <row r="841" s="86" customFormat="1" ht="48" outlineLevel="2" spans="1:15">
      <c r="A841" s="103">
        <f t="shared" si="164"/>
        <v>6</v>
      </c>
      <c r="B841" s="98" t="s">
        <v>66</v>
      </c>
      <c r="C841" s="99" t="s">
        <v>67</v>
      </c>
      <c r="D841" s="100" t="s">
        <v>58</v>
      </c>
      <c r="E841" s="101">
        <v>6.6</v>
      </c>
      <c r="F841" s="101"/>
      <c r="G841" s="101"/>
      <c r="H841" s="101"/>
      <c r="I841" s="27">
        <f t="shared" si="165"/>
        <v>0</v>
      </c>
      <c r="J841" s="28">
        <f t="shared" si="166"/>
        <v>0</v>
      </c>
      <c r="K841" s="29">
        <f t="shared" si="167"/>
        <v>0</v>
      </c>
      <c r="L841" s="96"/>
      <c r="M841" s="86">
        <v>1</v>
      </c>
    </row>
    <row r="842" s="86" customFormat="1" ht="24" customHeight="1" outlineLevel="1" spans="1:15">
      <c r="A842" s="97"/>
      <c r="B842" s="98" t="s">
        <v>68</v>
      </c>
      <c r="C842" s="99"/>
      <c r="D842" s="100"/>
      <c r="E842" s="101"/>
      <c r="F842" s="101"/>
      <c r="G842" s="101"/>
      <c r="H842" s="101"/>
      <c r="I842" s="101"/>
      <c r="J842" s="101"/>
      <c r="K842" s="102"/>
      <c r="L842" s="96"/>
    </row>
    <row r="843" s="86" customFormat="1" ht="96" outlineLevel="2" spans="1:15">
      <c r="A843" s="103">
        <f t="shared" ref="A843:A850" si="168">1+N(A842)</f>
        <v>1</v>
      </c>
      <c r="B843" s="98" t="s">
        <v>71</v>
      </c>
      <c r="C843" s="99" t="s">
        <v>253</v>
      </c>
      <c r="D843" s="100" t="s">
        <v>58</v>
      </c>
      <c r="E843" s="101">
        <v>8.924</v>
      </c>
      <c r="F843" s="101"/>
      <c r="G843" s="101"/>
      <c r="H843" s="101"/>
      <c r="I843" s="27">
        <f t="shared" ref="I843:I850" si="169">(F843+G843+H843)*$I$3</f>
        <v>0</v>
      </c>
      <c r="J843" s="28">
        <f t="shared" ref="J843:J850" si="170">ROUND(SUM(F843:I843),2)</f>
        <v>0</v>
      </c>
      <c r="K843" s="29">
        <f t="shared" ref="K843:K850" si="171">ROUND(J843*E843,2)</f>
        <v>0</v>
      </c>
      <c r="L843" s="96"/>
      <c r="M843" s="86">
        <v>1</v>
      </c>
    </row>
    <row r="844" s="86" customFormat="1" ht="60" outlineLevel="2" spans="1:15">
      <c r="A844" s="103">
        <f t="shared" si="168"/>
        <v>2</v>
      </c>
      <c r="B844" s="98" t="s">
        <v>255</v>
      </c>
      <c r="C844" s="99" t="s">
        <v>256</v>
      </c>
      <c r="D844" s="100" t="s">
        <v>58</v>
      </c>
      <c r="E844" s="101">
        <v>7.004</v>
      </c>
      <c r="F844" s="101"/>
      <c r="G844" s="101"/>
      <c r="H844" s="101"/>
      <c r="I844" s="27">
        <f t="shared" si="169"/>
        <v>0</v>
      </c>
      <c r="J844" s="28">
        <f t="shared" si="170"/>
        <v>0</v>
      </c>
      <c r="K844" s="29">
        <f t="shared" si="171"/>
        <v>0</v>
      </c>
      <c r="L844" s="96"/>
      <c r="M844" s="86">
        <v>1</v>
      </c>
    </row>
    <row r="845" s="86" customFormat="1" ht="60" outlineLevel="2" spans="1:15">
      <c r="A845" s="103">
        <f t="shared" si="168"/>
        <v>3</v>
      </c>
      <c r="B845" s="98" t="s">
        <v>169</v>
      </c>
      <c r="C845" s="99" t="s">
        <v>257</v>
      </c>
      <c r="D845" s="100" t="s">
        <v>58</v>
      </c>
      <c r="E845" s="101">
        <v>9.179</v>
      </c>
      <c r="F845" s="101"/>
      <c r="G845" s="101"/>
      <c r="H845" s="101"/>
      <c r="I845" s="27">
        <f t="shared" si="169"/>
        <v>0</v>
      </c>
      <c r="J845" s="28">
        <f t="shared" si="170"/>
        <v>0</v>
      </c>
      <c r="K845" s="29">
        <f t="shared" si="171"/>
        <v>0</v>
      </c>
      <c r="L845" s="96"/>
      <c r="M845" s="86">
        <v>1</v>
      </c>
    </row>
    <row r="846" s="86" customFormat="1" ht="36" outlineLevel="2" spans="1:15">
      <c r="A846" s="103">
        <f t="shared" si="168"/>
        <v>4</v>
      </c>
      <c r="B846" s="98" t="s">
        <v>395</v>
      </c>
      <c r="C846" s="99" t="s">
        <v>396</v>
      </c>
      <c r="D846" s="100" t="s">
        <v>58</v>
      </c>
      <c r="E846" s="101">
        <v>14.626</v>
      </c>
      <c r="F846" s="101"/>
      <c r="G846" s="101"/>
      <c r="H846" s="101"/>
      <c r="I846" s="27">
        <f t="shared" si="169"/>
        <v>0</v>
      </c>
      <c r="J846" s="28">
        <f t="shared" si="170"/>
        <v>0</v>
      </c>
      <c r="K846" s="29">
        <f t="shared" si="171"/>
        <v>0</v>
      </c>
      <c r="L846" s="96"/>
      <c r="M846" s="86">
        <v>1</v>
      </c>
    </row>
    <row r="847" s="86" customFormat="1" ht="24" outlineLevel="2" spans="1:15">
      <c r="A847" s="103">
        <f t="shared" si="168"/>
        <v>5</v>
      </c>
      <c r="B847" s="98" t="s">
        <v>188</v>
      </c>
      <c r="C847" s="99" t="s">
        <v>189</v>
      </c>
      <c r="D847" s="100" t="s">
        <v>58</v>
      </c>
      <c r="E847" s="101">
        <v>41.098</v>
      </c>
      <c r="F847" s="101"/>
      <c r="G847" s="101"/>
      <c r="H847" s="101"/>
      <c r="I847" s="27">
        <f t="shared" si="169"/>
        <v>0</v>
      </c>
      <c r="J847" s="28">
        <f t="shared" si="170"/>
        <v>0</v>
      </c>
      <c r="K847" s="29">
        <f t="shared" si="171"/>
        <v>0</v>
      </c>
      <c r="L847" s="96"/>
      <c r="M847" s="86">
        <v>1</v>
      </c>
    </row>
    <row r="848" s="86" customFormat="1" ht="48" outlineLevel="2" spans="1:15">
      <c r="A848" s="103">
        <f t="shared" si="168"/>
        <v>6</v>
      </c>
      <c r="B848" s="98" t="s">
        <v>77</v>
      </c>
      <c r="C848" s="99" t="s">
        <v>78</v>
      </c>
      <c r="D848" s="100" t="s">
        <v>58</v>
      </c>
      <c r="E848" s="101">
        <f>0.252*3.4*2</f>
        <v>1.7136</v>
      </c>
      <c r="F848" s="101"/>
      <c r="G848" s="101"/>
      <c r="H848" s="101"/>
      <c r="I848" s="27">
        <f t="shared" si="169"/>
        <v>0</v>
      </c>
      <c r="J848" s="28">
        <f t="shared" si="170"/>
        <v>0</v>
      </c>
      <c r="K848" s="29">
        <f t="shared" si="171"/>
        <v>0</v>
      </c>
      <c r="L848" s="96"/>
      <c r="M848" s="86">
        <v>1</v>
      </c>
    </row>
    <row r="849" s="86" customFormat="1" ht="48" outlineLevel="2" spans="1:15">
      <c r="A849" s="103">
        <f t="shared" si="168"/>
        <v>7</v>
      </c>
      <c r="B849" s="98" t="s">
        <v>86</v>
      </c>
      <c r="C849" s="99" t="s">
        <v>87</v>
      </c>
      <c r="D849" s="100" t="s">
        <v>65</v>
      </c>
      <c r="E849" s="101">
        <v>12.97</v>
      </c>
      <c r="F849" s="101"/>
      <c r="G849" s="101"/>
      <c r="H849" s="101"/>
      <c r="I849" s="27">
        <f t="shared" si="169"/>
        <v>0</v>
      </c>
      <c r="J849" s="28">
        <f t="shared" si="170"/>
        <v>0</v>
      </c>
      <c r="K849" s="29">
        <f t="shared" si="171"/>
        <v>0</v>
      </c>
      <c r="L849" s="96"/>
      <c r="M849" s="86">
        <v>1</v>
      </c>
    </row>
    <row r="850" s="86" customFormat="1" ht="36" outlineLevel="2" spans="1:15">
      <c r="A850" s="103">
        <f t="shared" si="168"/>
        <v>8</v>
      </c>
      <c r="B850" s="98" t="s">
        <v>234</v>
      </c>
      <c r="C850" s="99" t="s">
        <v>235</v>
      </c>
      <c r="D850" s="105" t="s">
        <v>58</v>
      </c>
      <c r="E850" s="101">
        <f>7.61*0.095</f>
        <v>0.72295</v>
      </c>
      <c r="F850" s="101"/>
      <c r="G850" s="101"/>
      <c r="H850" s="101"/>
      <c r="I850" s="27">
        <f t="shared" si="169"/>
        <v>0</v>
      </c>
      <c r="J850" s="28">
        <f t="shared" si="170"/>
        <v>0</v>
      </c>
      <c r="K850" s="29">
        <f t="shared" si="171"/>
        <v>0</v>
      </c>
      <c r="L850" s="96"/>
      <c r="M850" s="86">
        <v>1</v>
      </c>
    </row>
    <row r="851" s="86" customFormat="1" ht="24" customHeight="1" outlineLevel="1" spans="1:15">
      <c r="A851" s="97"/>
      <c r="B851" s="98" t="s">
        <v>96</v>
      </c>
      <c r="C851" s="99"/>
      <c r="D851" s="100"/>
      <c r="E851" s="101"/>
      <c r="F851" s="101"/>
      <c r="G851" s="101"/>
      <c r="H851" s="101"/>
      <c r="I851" s="101"/>
      <c r="J851" s="101"/>
      <c r="K851" s="102"/>
      <c r="L851" s="96"/>
    </row>
    <row r="852" s="86" customFormat="1" ht="96" outlineLevel="2" spans="1:15">
      <c r="A852" s="103">
        <f>1+N(A851)</f>
        <v>1</v>
      </c>
      <c r="B852" s="98" t="s">
        <v>97</v>
      </c>
      <c r="C852" s="108" t="s">
        <v>98</v>
      </c>
      <c r="D852" s="100" t="s">
        <v>58</v>
      </c>
      <c r="E852" s="101">
        <v>6.6</v>
      </c>
      <c r="F852" s="101"/>
      <c r="G852" s="101"/>
      <c r="H852" s="101"/>
      <c r="I852" s="27">
        <f>(F852+G852+H852)*$I$3</f>
        <v>0</v>
      </c>
      <c r="J852" s="28">
        <f>ROUND(SUM(F852:I852),2)</f>
        <v>0</v>
      </c>
      <c r="K852" s="29">
        <f>ROUND(J852*E852,2)</f>
        <v>0</v>
      </c>
      <c r="L852" s="96"/>
      <c r="M852" s="86">
        <v>1</v>
      </c>
    </row>
    <row r="853" s="86" customFormat="1" ht="72" customHeight="1" outlineLevel="2" spans="1:15">
      <c r="A853" s="103">
        <f>1+N(A852)</f>
        <v>2</v>
      </c>
      <c r="B853" s="98" t="s">
        <v>99</v>
      </c>
      <c r="C853" s="99" t="s">
        <v>100</v>
      </c>
      <c r="D853" s="100" t="s">
        <v>65</v>
      </c>
      <c r="E853" s="101">
        <v>2.6</v>
      </c>
      <c r="F853" s="101"/>
      <c r="G853" s="101"/>
      <c r="H853" s="101"/>
      <c r="I853" s="27">
        <f>(F853+G853+H853)*$I$3</f>
        <v>0</v>
      </c>
      <c r="J853" s="28">
        <f>ROUND(SUM(F853:I853),2)</f>
        <v>0</v>
      </c>
      <c r="K853" s="29">
        <f>ROUND(J853*E853,2)</f>
        <v>0</v>
      </c>
      <c r="L853" s="96"/>
      <c r="M853" s="86">
        <v>1</v>
      </c>
    </row>
    <row r="854" s="86" customFormat="1" ht="72" customHeight="1" outlineLevel="2" spans="1:15">
      <c r="A854" s="103">
        <f>1+N(A853)</f>
        <v>3</v>
      </c>
      <c r="B854" s="98" t="s">
        <v>287</v>
      </c>
      <c r="C854" s="99" t="s">
        <v>288</v>
      </c>
      <c r="D854" s="100" t="s">
        <v>65</v>
      </c>
      <c r="E854" s="101">
        <f>1.2*2*1</f>
        <v>2.4</v>
      </c>
      <c r="F854" s="101"/>
      <c r="G854" s="101"/>
      <c r="H854" s="101"/>
      <c r="I854" s="27">
        <f>(F854+G854+H854)*$I$3</f>
        <v>0</v>
      </c>
      <c r="J854" s="28">
        <f>ROUND(SUM(F854:I854),2)</f>
        <v>0</v>
      </c>
      <c r="K854" s="29">
        <f>ROUND(J854*E854,2)</f>
        <v>0</v>
      </c>
      <c r="L854" s="96"/>
      <c r="M854" s="86">
        <v>1</v>
      </c>
    </row>
    <row r="855" s="86" customFormat="1" ht="60" customHeight="1" outlineLevel="2" spans="1:15">
      <c r="A855" s="103">
        <f>1+N(A854)</f>
        <v>4</v>
      </c>
      <c r="B855" s="98" t="s">
        <v>140</v>
      </c>
      <c r="C855" s="99" t="s">
        <v>141</v>
      </c>
      <c r="D855" s="100" t="s">
        <v>58</v>
      </c>
      <c r="E855" s="101">
        <f>6.6+2.6*0.3</f>
        <v>7.38</v>
      </c>
      <c r="F855" s="101"/>
      <c r="G855" s="101"/>
      <c r="H855" s="101"/>
      <c r="I855" s="27">
        <f>(F855+G855+H855)*$I$3</f>
        <v>0</v>
      </c>
      <c r="J855" s="28">
        <f>ROUND(SUM(F855:I855),2)</f>
        <v>0</v>
      </c>
      <c r="K855" s="29">
        <f>ROUND(J855*E855,2)</f>
        <v>0</v>
      </c>
      <c r="L855" s="96"/>
      <c r="M855" s="86">
        <v>1</v>
      </c>
    </row>
    <row r="856" s="86" customFormat="1" ht="24" customHeight="1" outlineLevel="1" spans="1:15">
      <c r="A856" s="97"/>
      <c r="B856" s="98" t="s">
        <v>289</v>
      </c>
      <c r="C856" s="99"/>
      <c r="D856" s="100"/>
      <c r="E856" s="101"/>
      <c r="F856" s="101"/>
      <c r="G856" s="101"/>
      <c r="H856" s="101"/>
      <c r="I856" s="101"/>
      <c r="J856" s="101"/>
      <c r="K856" s="102"/>
      <c r="L856" s="96"/>
    </row>
    <row r="857" s="86" customFormat="1" ht="48" outlineLevel="2" spans="1:15">
      <c r="A857" s="103">
        <f>1+N(A856)</f>
        <v>1</v>
      </c>
      <c r="B857" s="98" t="s">
        <v>397</v>
      </c>
      <c r="C857" s="99" t="s">
        <v>398</v>
      </c>
      <c r="D857" s="100" t="s">
        <v>58</v>
      </c>
      <c r="E857" s="101">
        <f>0.87*3.4</f>
        <v>2.958</v>
      </c>
      <c r="F857" s="101"/>
      <c r="G857" s="101"/>
      <c r="H857" s="101"/>
      <c r="I857" s="27">
        <f>(F857+G857+H857)*$I$3</f>
        <v>0</v>
      </c>
      <c r="J857" s="28">
        <f>ROUND(SUM(F857:I857),2)</f>
        <v>0</v>
      </c>
      <c r="K857" s="29">
        <f>ROUND(J857*E857,2)</f>
        <v>0</v>
      </c>
      <c r="L857" s="96"/>
      <c r="M857" s="86">
        <v>1</v>
      </c>
    </row>
    <row r="858" s="86" customFormat="1" ht="84" outlineLevel="2" spans="1:15">
      <c r="A858" s="103">
        <f>1+N(A857)</f>
        <v>2</v>
      </c>
      <c r="B858" s="98" t="s">
        <v>399</v>
      </c>
      <c r="C858" s="99" t="s">
        <v>400</v>
      </c>
      <c r="D858" s="100" t="s">
        <v>65</v>
      </c>
      <c r="E858" s="101">
        <v>0.9</v>
      </c>
      <c r="F858" s="101"/>
      <c r="G858" s="101"/>
      <c r="H858" s="101"/>
      <c r="I858" s="27">
        <f>(F858+G858+H858)*$I$3</f>
        <v>0</v>
      </c>
      <c r="J858" s="28">
        <f>ROUND(SUM(F858:I858),2)</f>
        <v>0</v>
      </c>
      <c r="K858" s="29">
        <f>ROUND(J858*E858,2)</f>
        <v>0</v>
      </c>
      <c r="L858" s="96"/>
      <c r="M858" s="86">
        <v>1</v>
      </c>
    </row>
    <row r="859" s="86" customFormat="1" ht="24" customHeight="1" outlineLevel="1" spans="1:15">
      <c r="A859" s="92" t="s">
        <v>401</v>
      </c>
      <c r="B859" s="93" t="s">
        <v>402</v>
      </c>
      <c r="C859" s="119"/>
      <c r="D859" s="94"/>
      <c r="E859" s="95"/>
      <c r="F859" s="95"/>
      <c r="G859" s="95"/>
      <c r="H859" s="95"/>
      <c r="I859" s="95"/>
      <c r="J859" s="95"/>
      <c r="K859" s="23"/>
      <c r="L859" s="96"/>
      <c r="O859" s="86" t="str">
        <f>_xlfn.DISPIMG("ID_E5CD2B656A7B49C499EC220A07E6DA18",1)</f>
        <v>=DISPIMG("ID_E5CD2B656A7B49C499EC220A07E6DA18",1)</v>
      </c>
    </row>
    <row r="860" s="86" customFormat="1" ht="24" customHeight="1" outlineLevel="1" spans="1:15">
      <c r="A860" s="97"/>
      <c r="B860" s="98" t="s">
        <v>55</v>
      </c>
      <c r="C860" s="99"/>
      <c r="D860" s="100"/>
      <c r="E860" s="101"/>
      <c r="F860" s="101"/>
      <c r="G860" s="101"/>
      <c r="H860" s="101"/>
      <c r="I860" s="101"/>
      <c r="J860" s="101"/>
      <c r="K860" s="102"/>
      <c r="L860" s="96"/>
    </row>
    <row r="861" s="86" customFormat="1" ht="96" outlineLevel="2" spans="1:15">
      <c r="A861" s="103">
        <f>1+N(A860)</f>
        <v>1</v>
      </c>
      <c r="B861" s="98" t="s">
        <v>61</v>
      </c>
      <c r="C861" s="99" t="s">
        <v>62</v>
      </c>
      <c r="D861" s="100" t="s">
        <v>58</v>
      </c>
      <c r="E861" s="101">
        <v>10.78</v>
      </c>
      <c r="F861" s="101"/>
      <c r="G861" s="101"/>
      <c r="H861" s="27"/>
      <c r="I861" s="27">
        <f>(F861+G861+H861)*$I$3</f>
        <v>0</v>
      </c>
      <c r="J861" s="28">
        <f>ROUND(SUM(F861:I861),2)</f>
        <v>0</v>
      </c>
      <c r="K861" s="29">
        <f>ROUND(J861*E861,2)</f>
        <v>0</v>
      </c>
      <c r="L861" s="96"/>
      <c r="M861" s="86">
        <v>1</v>
      </c>
    </row>
    <row r="862" s="86" customFormat="1" ht="96" outlineLevel="2" spans="1:15">
      <c r="A862" s="103">
        <f>1+N(A861)</f>
        <v>2</v>
      </c>
      <c r="B862" s="98" t="s">
        <v>56</v>
      </c>
      <c r="C862" s="99" t="s">
        <v>57</v>
      </c>
      <c r="D862" s="100" t="s">
        <v>58</v>
      </c>
      <c r="E862" s="101">
        <v>0.32</v>
      </c>
      <c r="F862" s="101"/>
      <c r="G862" s="101"/>
      <c r="H862" s="27"/>
      <c r="I862" s="27">
        <f>(F862+G862+H862)*$I$3</f>
        <v>0</v>
      </c>
      <c r="J862" s="28">
        <f>ROUND(SUM(F862:I862),2)</f>
        <v>0</v>
      </c>
      <c r="K862" s="29">
        <f>ROUND(J862*E862,2)</f>
        <v>0</v>
      </c>
      <c r="L862" s="96"/>
      <c r="M862" s="86">
        <v>1</v>
      </c>
    </row>
    <row r="863" s="86" customFormat="1" ht="48" outlineLevel="2" spans="1:15">
      <c r="A863" s="103">
        <f>1+N(A862)</f>
        <v>3</v>
      </c>
      <c r="B863" s="98" t="s">
        <v>66</v>
      </c>
      <c r="C863" s="99" t="s">
        <v>67</v>
      </c>
      <c r="D863" s="100" t="s">
        <v>58</v>
      </c>
      <c r="E863" s="101">
        <v>0.32</v>
      </c>
      <c r="F863" s="101"/>
      <c r="G863" s="101"/>
      <c r="H863" s="101"/>
      <c r="I863" s="27">
        <f>(F863+G863+H863)*$I$3</f>
        <v>0</v>
      </c>
      <c r="J863" s="28">
        <f>ROUND(SUM(F863:I863),2)</f>
        <v>0</v>
      </c>
      <c r="K863" s="29">
        <f>ROUND(J863*E863,2)</f>
        <v>0</v>
      </c>
      <c r="L863" s="96"/>
      <c r="M863" s="86">
        <v>1</v>
      </c>
    </row>
    <row r="864" s="86" customFormat="1" ht="24" customHeight="1" outlineLevel="1" spans="1:15">
      <c r="A864" s="97"/>
      <c r="B864" s="98" t="s">
        <v>68</v>
      </c>
      <c r="C864" s="99"/>
      <c r="D864" s="100"/>
      <c r="E864" s="101"/>
      <c r="F864" s="101"/>
      <c r="G864" s="101"/>
      <c r="H864" s="101"/>
      <c r="I864" s="101"/>
      <c r="J864" s="101"/>
      <c r="K864" s="102"/>
      <c r="L864" s="96"/>
    </row>
    <row r="865" s="86" customFormat="1" ht="60" customHeight="1" outlineLevel="2" spans="1:15">
      <c r="A865" s="103">
        <f>1+N(A864)</f>
        <v>1</v>
      </c>
      <c r="B865" s="104" t="s">
        <v>75</v>
      </c>
      <c r="C865" s="99" t="s">
        <v>76</v>
      </c>
      <c r="D865" s="100" t="s">
        <v>58</v>
      </c>
      <c r="E865" s="101">
        <v>28.224</v>
      </c>
      <c r="F865" s="101"/>
      <c r="G865" s="101"/>
      <c r="H865" s="101"/>
      <c r="I865" s="27">
        <f>(F865+G865+H865)*$I$3</f>
        <v>0</v>
      </c>
      <c r="J865" s="28">
        <f>ROUND(SUM(F865:I865),2)</f>
        <v>0</v>
      </c>
      <c r="K865" s="29">
        <f>ROUND(J865*E865,2)</f>
        <v>0</v>
      </c>
      <c r="L865" s="96"/>
      <c r="M865" s="86">
        <v>1</v>
      </c>
    </row>
    <row r="866" s="86" customFormat="1" ht="60" customHeight="1" outlineLevel="2" spans="1:15">
      <c r="A866" s="103">
        <f>1+N(A865)</f>
        <v>2</v>
      </c>
      <c r="B866" s="98" t="s">
        <v>186</v>
      </c>
      <c r="C866" s="99" t="s">
        <v>286</v>
      </c>
      <c r="D866" s="100" t="s">
        <v>58</v>
      </c>
      <c r="E866" s="101">
        <v>25.477</v>
      </c>
      <c r="F866" s="101"/>
      <c r="G866" s="101"/>
      <c r="H866" s="101"/>
      <c r="I866" s="27">
        <f>(F866+G866+H866)*$I$3</f>
        <v>0</v>
      </c>
      <c r="J866" s="28">
        <f>ROUND(SUM(F866:I866),2)</f>
        <v>0</v>
      </c>
      <c r="K866" s="29">
        <f>ROUND(J866*E866,2)</f>
        <v>0</v>
      </c>
      <c r="L866" s="96"/>
      <c r="M866" s="86">
        <v>1</v>
      </c>
    </row>
    <row r="867" s="86" customFormat="1" ht="60" customHeight="1" outlineLevel="2" spans="1:15">
      <c r="A867" s="103">
        <f>1+N(A866)</f>
        <v>3</v>
      </c>
      <c r="B867" s="98" t="s">
        <v>84</v>
      </c>
      <c r="C867" s="99" t="s">
        <v>85</v>
      </c>
      <c r="D867" s="100" t="s">
        <v>58</v>
      </c>
      <c r="E867" s="101">
        <v>0.488</v>
      </c>
      <c r="F867" s="101"/>
      <c r="G867" s="101"/>
      <c r="H867" s="101"/>
      <c r="I867" s="27">
        <f>(F867+G867+H867)*$I$3</f>
        <v>0</v>
      </c>
      <c r="J867" s="28">
        <f>ROUND(SUM(F867:I867),2)</f>
        <v>0</v>
      </c>
      <c r="K867" s="29">
        <f>ROUND(J867*E867,2)</f>
        <v>0</v>
      </c>
      <c r="L867" s="96"/>
      <c r="M867" s="86">
        <v>1</v>
      </c>
    </row>
    <row r="868" s="86" customFormat="1" ht="60" customHeight="1" outlineLevel="2" spans="1:15">
      <c r="A868" s="103">
        <f>1+N(A867)</f>
        <v>4</v>
      </c>
      <c r="B868" s="98" t="s">
        <v>77</v>
      </c>
      <c r="C868" s="99" t="s">
        <v>78</v>
      </c>
      <c r="D868" s="100" t="s">
        <v>58</v>
      </c>
      <c r="E868" s="101">
        <f>0.322*3.4*2+0.232*3.4*2</f>
        <v>3.7672</v>
      </c>
      <c r="F868" s="101"/>
      <c r="G868" s="101"/>
      <c r="H868" s="101"/>
      <c r="I868" s="27">
        <f>(F868+G868+H868)*$I$3</f>
        <v>0</v>
      </c>
      <c r="J868" s="28">
        <f>ROUND(SUM(F868:I868),2)</f>
        <v>0</v>
      </c>
      <c r="K868" s="29">
        <f>ROUND(J868*E868,2)</f>
        <v>0</v>
      </c>
      <c r="L868" s="96"/>
      <c r="M868" s="86">
        <v>1</v>
      </c>
    </row>
    <row r="869" s="86" customFormat="1" ht="60" customHeight="1" outlineLevel="2" spans="1:15">
      <c r="A869" s="103">
        <f>1+N(A868)</f>
        <v>5</v>
      </c>
      <c r="B869" s="98" t="s">
        <v>234</v>
      </c>
      <c r="C869" s="99" t="s">
        <v>235</v>
      </c>
      <c r="D869" s="105" t="s">
        <v>58</v>
      </c>
      <c r="E869" s="101">
        <f>((1.85+2.4)*2+8.06)*0.095</f>
        <v>1.5732</v>
      </c>
      <c r="F869" s="101"/>
      <c r="G869" s="101"/>
      <c r="H869" s="101"/>
      <c r="I869" s="27">
        <f>(F869+G869+H869)*$I$3</f>
        <v>0</v>
      </c>
      <c r="J869" s="28">
        <f>ROUND(SUM(F869:I869),2)</f>
        <v>0</v>
      </c>
      <c r="K869" s="29">
        <f>ROUND(J869*E869,2)</f>
        <v>0</v>
      </c>
      <c r="L869" s="96"/>
      <c r="M869" s="86">
        <v>1</v>
      </c>
    </row>
    <row r="870" s="86" customFormat="1" ht="24" customHeight="1" outlineLevel="1" spans="1:15">
      <c r="A870" s="97"/>
      <c r="B870" s="98" t="s">
        <v>96</v>
      </c>
      <c r="C870" s="99"/>
      <c r="D870" s="100"/>
      <c r="E870" s="101"/>
      <c r="F870" s="101"/>
      <c r="G870" s="101"/>
      <c r="H870" s="101"/>
      <c r="I870" s="101"/>
      <c r="J870" s="101"/>
      <c r="K870" s="102"/>
      <c r="L870" s="96"/>
    </row>
    <row r="871" s="86" customFormat="1" ht="72" customHeight="1" outlineLevel="2" spans="1:15">
      <c r="A871" s="103">
        <f>1+N(A870)</f>
        <v>1</v>
      </c>
      <c r="B871" s="98" t="s">
        <v>277</v>
      </c>
      <c r="C871" s="99" t="s">
        <v>278</v>
      </c>
      <c r="D871" s="100" t="s">
        <v>58</v>
      </c>
      <c r="E871" s="101">
        <v>10.78</v>
      </c>
      <c r="F871" s="101"/>
      <c r="G871" s="101"/>
      <c r="H871" s="101"/>
      <c r="I871" s="27">
        <f>(F871+G871+H871)*$I$3</f>
        <v>0</v>
      </c>
      <c r="J871" s="28">
        <f>ROUND(SUM(F871:I871),2)</f>
        <v>0</v>
      </c>
      <c r="K871" s="29">
        <f>ROUND(J871*E871,2)</f>
        <v>0</v>
      </c>
      <c r="L871" s="96"/>
      <c r="M871" s="86">
        <v>1</v>
      </c>
    </row>
    <row r="872" s="86" customFormat="1" ht="24" customHeight="1" outlineLevel="1" spans="1:15">
      <c r="A872" s="97"/>
      <c r="B872" s="98" t="s">
        <v>107</v>
      </c>
      <c r="C872" s="99"/>
      <c r="D872" s="100"/>
      <c r="E872" s="101"/>
      <c r="F872" s="101"/>
      <c r="G872" s="101"/>
      <c r="H872" s="101"/>
      <c r="I872" s="101"/>
      <c r="J872" s="101"/>
      <c r="K872" s="102"/>
      <c r="L872" s="96"/>
    </row>
    <row r="873" s="86" customFormat="1" ht="48" outlineLevel="2" spans="1:15">
      <c r="A873" s="103">
        <f>1+N(A872)</f>
        <v>1</v>
      </c>
      <c r="B873" s="98" t="s">
        <v>403</v>
      </c>
      <c r="C873" s="99" t="s">
        <v>293</v>
      </c>
      <c r="D873" s="100" t="s">
        <v>58</v>
      </c>
      <c r="E873" s="101">
        <f>0.64*3.4</f>
        <v>2.176</v>
      </c>
      <c r="F873" s="101"/>
      <c r="G873" s="101"/>
      <c r="H873" s="101"/>
      <c r="I873" s="27">
        <f>(F873+G873+H873)*$I$3</f>
        <v>0</v>
      </c>
      <c r="J873" s="28">
        <f>ROUND(SUM(F873:I873),2)</f>
        <v>0</v>
      </c>
      <c r="K873" s="29">
        <f>ROUND(J873*E873,2)</f>
        <v>0</v>
      </c>
      <c r="L873" s="96"/>
      <c r="M873" s="86">
        <v>1</v>
      </c>
    </row>
    <row r="874" s="86" customFormat="1" ht="72" outlineLevel="2" spans="1:15">
      <c r="A874" s="103">
        <f>1+N(A873)</f>
        <v>2</v>
      </c>
      <c r="B874" s="98" t="s">
        <v>404</v>
      </c>
      <c r="C874" s="99" t="s">
        <v>405</v>
      </c>
      <c r="D874" s="100" t="s">
        <v>58</v>
      </c>
      <c r="E874" s="101">
        <f>0.77*3.4</f>
        <v>2.618</v>
      </c>
      <c r="F874" s="101"/>
      <c r="G874" s="101"/>
      <c r="H874" s="101"/>
      <c r="I874" s="27">
        <f>(F874+G874+H874)*$I$3</f>
        <v>0</v>
      </c>
      <c r="J874" s="28">
        <f>ROUND(SUM(F874:I874),2)</f>
        <v>0</v>
      </c>
      <c r="K874" s="29">
        <f>ROUND(J874*E874,2)</f>
        <v>0</v>
      </c>
      <c r="L874" s="96"/>
      <c r="M874" s="86">
        <v>1</v>
      </c>
    </row>
    <row r="875" s="86" customFormat="1" ht="72" outlineLevel="2" spans="1:15">
      <c r="A875" s="103">
        <f>1+N(A874)</f>
        <v>3</v>
      </c>
      <c r="B875" s="98" t="s">
        <v>406</v>
      </c>
      <c r="C875" s="99" t="s">
        <v>407</v>
      </c>
      <c r="D875" s="100" t="s">
        <v>65</v>
      </c>
      <c r="E875" s="101">
        <f>1.34+2.99</f>
        <v>4.33</v>
      </c>
      <c r="F875" s="101"/>
      <c r="G875" s="101"/>
      <c r="H875" s="101"/>
      <c r="I875" s="27">
        <f>(F875+G875+H875)*$I$3</f>
        <v>0</v>
      </c>
      <c r="J875" s="28">
        <f>ROUND(SUM(F875:I875),2)</f>
        <v>0</v>
      </c>
      <c r="K875" s="29">
        <f>ROUND(J875*E875,2)</f>
        <v>0</v>
      </c>
      <c r="L875" s="96"/>
      <c r="M875" s="86">
        <v>1</v>
      </c>
    </row>
    <row r="876" s="86" customFormat="1" ht="24" customHeight="1" outlineLevel="1" spans="1:15">
      <c r="A876" s="92" t="s">
        <v>408</v>
      </c>
      <c r="B876" s="93" t="s">
        <v>409</v>
      </c>
      <c r="C876" s="93"/>
      <c r="D876" s="94"/>
      <c r="E876" s="95"/>
      <c r="F876" s="95"/>
      <c r="G876" s="95"/>
      <c r="H876" s="95"/>
      <c r="I876" s="95"/>
      <c r="J876" s="95"/>
      <c r="K876" s="23"/>
      <c r="L876" s="96"/>
      <c r="O876" s="86" t="str">
        <f>_xlfn.DISPIMG("ID_BF1EDA8852A541B6AC34D90F51519C63",1)</f>
        <v>=DISPIMG("ID_BF1EDA8852A541B6AC34D90F51519C63",1)</v>
      </c>
    </row>
    <row r="877" s="86" customFormat="1" ht="24" customHeight="1" outlineLevel="1" spans="1:15">
      <c r="A877" s="97"/>
      <c r="B877" s="98" t="s">
        <v>55</v>
      </c>
      <c r="C877" s="99"/>
      <c r="D877" s="100"/>
      <c r="E877" s="101"/>
      <c r="F877" s="101"/>
      <c r="G877" s="101"/>
      <c r="H877" s="101"/>
      <c r="I877" s="101"/>
      <c r="J877" s="101"/>
      <c r="K877" s="102"/>
      <c r="L877" s="96"/>
    </row>
    <row r="878" s="86" customFormat="1" ht="96" outlineLevel="2" spans="1:15">
      <c r="A878" s="103">
        <f>1+N(A877)</f>
        <v>1</v>
      </c>
      <c r="B878" s="98" t="s">
        <v>215</v>
      </c>
      <c r="C878" s="99" t="s">
        <v>216</v>
      </c>
      <c r="D878" s="100" t="s">
        <v>58</v>
      </c>
      <c r="E878" s="101">
        <f>42.62-2.92</f>
        <v>39.7</v>
      </c>
      <c r="F878" s="101"/>
      <c r="G878" s="101"/>
      <c r="H878" s="27"/>
      <c r="I878" s="27">
        <f>(F878+G878+H878)*$I$3</f>
        <v>0</v>
      </c>
      <c r="J878" s="28">
        <f>ROUND(SUM(F878:I878),2)</f>
        <v>0</v>
      </c>
      <c r="K878" s="29">
        <f>ROUND(J878*E878,2)</f>
        <v>0</v>
      </c>
      <c r="L878" s="96"/>
      <c r="M878" s="86">
        <v>1</v>
      </c>
      <c r="O878" s="86">
        <v>29.2</v>
      </c>
    </row>
    <row r="879" s="86" customFormat="1" ht="108" outlineLevel="2" spans="1:15">
      <c r="A879" s="103">
        <f>1+N(A878)</f>
        <v>2</v>
      </c>
      <c r="B879" s="98" t="s">
        <v>410</v>
      </c>
      <c r="C879" s="99" t="s">
        <v>411</v>
      </c>
      <c r="D879" s="100" t="s">
        <v>58</v>
      </c>
      <c r="E879" s="101">
        <f>29.2*0.1</f>
        <v>2.92</v>
      </c>
      <c r="F879" s="101"/>
      <c r="G879" s="101"/>
      <c r="H879" s="101"/>
      <c r="I879" s="27">
        <f>(F879+G879+H879)*$I$3</f>
        <v>0</v>
      </c>
      <c r="J879" s="28">
        <f>ROUND(SUM(F879:I879),2)</f>
        <v>0</v>
      </c>
      <c r="K879" s="29">
        <f>ROUND(J879*E879,2)</f>
        <v>0</v>
      </c>
      <c r="L879" s="96"/>
      <c r="M879" s="86">
        <v>1</v>
      </c>
    </row>
    <row r="880" s="86" customFormat="1" ht="96" outlineLevel="2" spans="1:15">
      <c r="A880" s="103">
        <f>1+N(A879)</f>
        <v>3</v>
      </c>
      <c r="B880" s="98" t="s">
        <v>275</v>
      </c>
      <c r="C880" s="99" t="s">
        <v>276</v>
      </c>
      <c r="D880" s="100" t="s">
        <v>58</v>
      </c>
      <c r="E880" s="101">
        <v>46.1</v>
      </c>
      <c r="F880" s="101"/>
      <c r="G880" s="101"/>
      <c r="H880" s="27"/>
      <c r="I880" s="27">
        <f>(F880+G880+H880)*$I$3</f>
        <v>0</v>
      </c>
      <c r="J880" s="28">
        <f>ROUND(SUM(F880:I880),2)</f>
        <v>0</v>
      </c>
      <c r="K880" s="29">
        <f>ROUND(J880*E880,2)</f>
        <v>0</v>
      </c>
      <c r="L880" s="96"/>
      <c r="M880" s="86">
        <v>1</v>
      </c>
    </row>
    <row r="881" s="86" customFormat="1" ht="48" outlineLevel="2" spans="1:13">
      <c r="A881" s="103">
        <f>1+N(A880)</f>
        <v>4</v>
      </c>
      <c r="B881" s="98" t="s">
        <v>66</v>
      </c>
      <c r="C881" s="99" t="s">
        <v>67</v>
      </c>
      <c r="D881" s="100" t="s">
        <v>58</v>
      </c>
      <c r="E881" s="101">
        <v>42.62</v>
      </c>
      <c r="F881" s="101"/>
      <c r="G881" s="101"/>
      <c r="H881" s="101"/>
      <c r="I881" s="27">
        <f>(F881+G881+H881)*$I$3</f>
        <v>0</v>
      </c>
      <c r="J881" s="28">
        <f>ROUND(SUM(F881:I881),2)</f>
        <v>0</v>
      </c>
      <c r="K881" s="29">
        <f>ROUND(J881*E881,2)</f>
        <v>0</v>
      </c>
      <c r="L881" s="96"/>
      <c r="M881" s="86">
        <v>1</v>
      </c>
    </row>
    <row r="882" s="86" customFormat="1" ht="24" customHeight="1" outlineLevel="1" spans="1:13">
      <c r="A882" s="97"/>
      <c r="B882" s="98" t="s">
        <v>68</v>
      </c>
      <c r="C882" s="99"/>
      <c r="D882" s="100"/>
      <c r="E882" s="101"/>
      <c r="F882" s="101"/>
      <c r="G882" s="101"/>
      <c r="H882" s="101"/>
      <c r="I882" s="101"/>
      <c r="J882" s="101"/>
      <c r="K882" s="102"/>
      <c r="L882" s="96"/>
    </row>
    <row r="883" s="86" customFormat="1" ht="96" outlineLevel="2" spans="1:13">
      <c r="A883" s="103">
        <f t="shared" ref="A883:A890" si="172">1+N(A882)</f>
        <v>1</v>
      </c>
      <c r="B883" s="105" t="s">
        <v>71</v>
      </c>
      <c r="C883" s="106" t="s">
        <v>253</v>
      </c>
      <c r="D883" s="100" t="s">
        <v>58</v>
      </c>
      <c r="E883" s="101">
        <v>37.122</v>
      </c>
      <c r="F883" s="101"/>
      <c r="G883" s="101"/>
      <c r="H883" s="101"/>
      <c r="I883" s="27">
        <f t="shared" ref="I883:I890" si="173">(F883+G883+H883)*$I$3</f>
        <v>0</v>
      </c>
      <c r="J883" s="28">
        <f t="shared" ref="J883:J890" si="174">ROUND(SUM(F883:I883),2)</f>
        <v>0</v>
      </c>
      <c r="K883" s="29">
        <f t="shared" ref="K883:K890" si="175">ROUND(J883*E883,2)</f>
        <v>0</v>
      </c>
      <c r="L883" s="96"/>
      <c r="M883" s="86">
        <v>1</v>
      </c>
    </row>
    <row r="884" s="86" customFormat="1" ht="96" outlineLevel="2" spans="1:13">
      <c r="A884" s="103">
        <f t="shared" si="172"/>
        <v>2</v>
      </c>
      <c r="B884" s="105" t="s">
        <v>73</v>
      </c>
      <c r="C884" s="106" t="s">
        <v>254</v>
      </c>
      <c r="D884" s="100" t="s">
        <v>58</v>
      </c>
      <c r="E884" s="101">
        <v>3.593</v>
      </c>
      <c r="F884" s="101"/>
      <c r="G884" s="101"/>
      <c r="H884" s="101"/>
      <c r="I884" s="27">
        <f t="shared" si="173"/>
        <v>0</v>
      </c>
      <c r="J884" s="28">
        <f t="shared" si="174"/>
        <v>0</v>
      </c>
      <c r="K884" s="29">
        <f t="shared" si="175"/>
        <v>0</v>
      </c>
      <c r="L884" s="96"/>
      <c r="M884" s="86">
        <v>1</v>
      </c>
    </row>
    <row r="885" s="86" customFormat="1" ht="64.5" outlineLevel="2" spans="1:13">
      <c r="A885" s="103">
        <f t="shared" si="172"/>
        <v>3</v>
      </c>
      <c r="B885" s="105" t="s">
        <v>412</v>
      </c>
      <c r="C885" s="120" t="s">
        <v>413</v>
      </c>
      <c r="D885" s="100" t="s">
        <v>58</v>
      </c>
      <c r="E885" s="101">
        <v>4.96</v>
      </c>
      <c r="F885" s="101"/>
      <c r="G885" s="101"/>
      <c r="H885" s="101"/>
      <c r="I885" s="27">
        <f t="shared" si="173"/>
        <v>0</v>
      </c>
      <c r="J885" s="28">
        <f t="shared" si="174"/>
        <v>0</v>
      </c>
      <c r="K885" s="29">
        <f t="shared" si="175"/>
        <v>0</v>
      </c>
      <c r="L885" s="96"/>
      <c r="M885" s="86">
        <v>1</v>
      </c>
    </row>
    <row r="886" s="86" customFormat="1" ht="60" customHeight="1" outlineLevel="2" spans="1:13">
      <c r="A886" s="103">
        <f t="shared" si="172"/>
        <v>4</v>
      </c>
      <c r="B886" s="98" t="s">
        <v>282</v>
      </c>
      <c r="C886" s="99" t="s">
        <v>283</v>
      </c>
      <c r="D886" s="100" t="s">
        <v>58</v>
      </c>
      <c r="E886" s="101">
        <v>6.307</v>
      </c>
      <c r="F886" s="101"/>
      <c r="G886" s="101"/>
      <c r="H886" s="101"/>
      <c r="I886" s="27">
        <f t="shared" si="173"/>
        <v>0</v>
      </c>
      <c r="J886" s="28">
        <f t="shared" si="174"/>
        <v>0</v>
      </c>
      <c r="K886" s="29">
        <f t="shared" si="175"/>
        <v>0</v>
      </c>
      <c r="L886" s="96"/>
      <c r="M886" s="86">
        <v>1</v>
      </c>
    </row>
    <row r="887" s="86" customFormat="1" ht="60" customHeight="1" outlineLevel="2" spans="1:13">
      <c r="A887" s="103">
        <f t="shared" si="172"/>
        <v>5</v>
      </c>
      <c r="B887" s="98" t="s">
        <v>223</v>
      </c>
      <c r="C887" s="99" t="s">
        <v>224</v>
      </c>
      <c r="D887" s="100" t="s">
        <v>58</v>
      </c>
      <c r="E887" s="101">
        <v>39.245</v>
      </c>
      <c r="F887" s="101"/>
      <c r="G887" s="101"/>
      <c r="H887" s="101"/>
      <c r="I887" s="27">
        <f t="shared" si="173"/>
        <v>0</v>
      </c>
      <c r="J887" s="28">
        <f t="shared" si="174"/>
        <v>0</v>
      </c>
      <c r="K887" s="29">
        <f t="shared" si="175"/>
        <v>0</v>
      </c>
      <c r="L887" s="96"/>
      <c r="M887" s="86">
        <v>1</v>
      </c>
    </row>
    <row r="888" s="86" customFormat="1" ht="60" customHeight="1" outlineLevel="2" spans="1:13">
      <c r="A888" s="103">
        <f t="shared" si="172"/>
        <v>6</v>
      </c>
      <c r="B888" s="98" t="s">
        <v>169</v>
      </c>
      <c r="C888" s="99" t="s">
        <v>257</v>
      </c>
      <c r="D888" s="100" t="s">
        <v>58</v>
      </c>
      <c r="E888" s="101">
        <f>11.886+0.908*7.78</f>
        <v>18.95024</v>
      </c>
      <c r="F888" s="101"/>
      <c r="G888" s="101"/>
      <c r="H888" s="101"/>
      <c r="I888" s="27">
        <f t="shared" si="173"/>
        <v>0</v>
      </c>
      <c r="J888" s="28">
        <f t="shared" si="174"/>
        <v>0</v>
      </c>
      <c r="K888" s="29">
        <f t="shared" si="175"/>
        <v>0</v>
      </c>
      <c r="L888" s="96"/>
      <c r="M888" s="86">
        <v>1</v>
      </c>
    </row>
    <row r="889" s="86" customFormat="1" ht="60" customHeight="1" outlineLevel="2" spans="1:13">
      <c r="A889" s="103">
        <f t="shared" si="172"/>
        <v>7</v>
      </c>
      <c r="B889" s="98" t="s">
        <v>228</v>
      </c>
      <c r="C889" s="99" t="s">
        <v>229</v>
      </c>
      <c r="D889" s="100" t="s">
        <v>58</v>
      </c>
      <c r="E889" s="101">
        <v>9.31</v>
      </c>
      <c r="F889" s="101"/>
      <c r="G889" s="101"/>
      <c r="H889" s="101"/>
      <c r="I889" s="27">
        <f t="shared" si="173"/>
        <v>0</v>
      </c>
      <c r="J889" s="28">
        <f t="shared" si="174"/>
        <v>0</v>
      </c>
      <c r="K889" s="29">
        <f t="shared" si="175"/>
        <v>0</v>
      </c>
      <c r="L889" s="96"/>
      <c r="M889" s="86">
        <v>1</v>
      </c>
    </row>
    <row r="890" s="86" customFormat="1" ht="60" customHeight="1" outlineLevel="2" spans="1:13">
      <c r="A890" s="103">
        <f t="shared" si="172"/>
        <v>8</v>
      </c>
      <c r="B890" s="98" t="s">
        <v>86</v>
      </c>
      <c r="C890" s="99" t="s">
        <v>87</v>
      </c>
      <c r="D890" s="100" t="s">
        <v>65</v>
      </c>
      <c r="E890" s="101">
        <v>35.42</v>
      </c>
      <c r="F890" s="101"/>
      <c r="G890" s="101"/>
      <c r="H890" s="101"/>
      <c r="I890" s="27">
        <f t="shared" si="173"/>
        <v>0</v>
      </c>
      <c r="J890" s="28">
        <f t="shared" si="174"/>
        <v>0</v>
      </c>
      <c r="K890" s="29">
        <f t="shared" si="175"/>
        <v>0</v>
      </c>
      <c r="L890" s="96"/>
      <c r="M890" s="86">
        <v>1</v>
      </c>
    </row>
    <row r="891" s="86" customFormat="1" ht="24" customHeight="1" outlineLevel="1" spans="1:13">
      <c r="A891" s="97"/>
      <c r="B891" s="98" t="s">
        <v>96</v>
      </c>
      <c r="C891" s="99"/>
      <c r="D891" s="100"/>
      <c r="E891" s="101"/>
      <c r="F891" s="101"/>
      <c r="G891" s="101"/>
      <c r="H891" s="101"/>
      <c r="I891" s="101"/>
      <c r="J891" s="101"/>
      <c r="K891" s="102"/>
      <c r="L891" s="96"/>
    </row>
    <row r="892" s="86" customFormat="1" ht="96" outlineLevel="2" spans="1:13">
      <c r="A892" s="103">
        <f t="shared" ref="A892:A901" si="176">1+N(A891)</f>
        <v>1</v>
      </c>
      <c r="B892" s="98" t="s">
        <v>97</v>
      </c>
      <c r="C892" s="108" t="s">
        <v>98</v>
      </c>
      <c r="D892" s="100" t="s">
        <v>58</v>
      </c>
      <c r="E892" s="101">
        <f>88.7-9.96-10.27-8.61</f>
        <v>59.86</v>
      </c>
      <c r="F892" s="101"/>
      <c r="G892" s="101"/>
      <c r="H892" s="101"/>
      <c r="I892" s="27">
        <f t="shared" ref="I892:I901" si="177">(F892+G892+H892)*$I$3</f>
        <v>0</v>
      </c>
      <c r="J892" s="28">
        <f t="shared" ref="J892:J901" si="178">ROUND(SUM(F892:I892),2)</f>
        <v>0</v>
      </c>
      <c r="K892" s="29">
        <f t="shared" ref="K892:K901" si="179">ROUND(J892*E892,2)</f>
        <v>0</v>
      </c>
      <c r="L892" s="96"/>
      <c r="M892" s="86">
        <v>1</v>
      </c>
    </row>
    <row r="893" s="86" customFormat="1" ht="72" customHeight="1" outlineLevel="2" spans="1:13">
      <c r="A893" s="103">
        <f t="shared" si="176"/>
        <v>2</v>
      </c>
      <c r="B893" s="98" t="s">
        <v>414</v>
      </c>
      <c r="C893" s="108" t="s">
        <v>415</v>
      </c>
      <c r="D893" s="100" t="s">
        <v>58</v>
      </c>
      <c r="E893" s="101">
        <v>9.96</v>
      </c>
      <c r="F893" s="101"/>
      <c r="G893" s="101"/>
      <c r="H893" s="101"/>
      <c r="I893" s="27">
        <f t="shared" si="177"/>
        <v>0</v>
      </c>
      <c r="J893" s="28">
        <f t="shared" si="178"/>
        <v>0</v>
      </c>
      <c r="K893" s="29">
        <f t="shared" si="179"/>
        <v>0</v>
      </c>
      <c r="L893" s="96"/>
      <c r="M893" s="86">
        <v>1</v>
      </c>
    </row>
    <row r="894" s="86" customFormat="1" ht="72" customHeight="1" outlineLevel="2" spans="1:13">
      <c r="A894" s="103">
        <f t="shared" si="176"/>
        <v>3</v>
      </c>
      <c r="B894" s="98" t="s">
        <v>357</v>
      </c>
      <c r="C894" s="108" t="s">
        <v>358</v>
      </c>
      <c r="D894" s="100" t="s">
        <v>58</v>
      </c>
      <c r="E894" s="101">
        <v>10.27</v>
      </c>
      <c r="F894" s="101"/>
      <c r="G894" s="101"/>
      <c r="H894" s="101"/>
      <c r="I894" s="27">
        <f t="shared" si="177"/>
        <v>0</v>
      </c>
      <c r="J894" s="28">
        <f t="shared" si="178"/>
        <v>0</v>
      </c>
      <c r="K894" s="29">
        <f t="shared" si="179"/>
        <v>0</v>
      </c>
      <c r="L894" s="96"/>
      <c r="M894" s="86">
        <v>1</v>
      </c>
    </row>
    <row r="895" s="86" customFormat="1" ht="72" customHeight="1" outlineLevel="2" spans="1:13">
      <c r="A895" s="103">
        <f t="shared" si="176"/>
        <v>4</v>
      </c>
      <c r="B895" s="98" t="s">
        <v>261</v>
      </c>
      <c r="C895" s="108" t="s">
        <v>266</v>
      </c>
      <c r="D895" s="100" t="s">
        <v>58</v>
      </c>
      <c r="E895" s="101">
        <v>8.61</v>
      </c>
      <c r="F895" s="101"/>
      <c r="G895" s="101"/>
      <c r="H895" s="101"/>
      <c r="I895" s="27">
        <f t="shared" si="177"/>
        <v>0</v>
      </c>
      <c r="J895" s="28">
        <f t="shared" si="178"/>
        <v>0</v>
      </c>
      <c r="K895" s="29">
        <f t="shared" si="179"/>
        <v>0</v>
      </c>
      <c r="L895" s="96"/>
      <c r="M895" s="86">
        <v>1</v>
      </c>
    </row>
    <row r="896" s="86" customFormat="1" ht="72" customHeight="1" outlineLevel="2" spans="1:13">
      <c r="A896" s="103">
        <f t="shared" si="176"/>
        <v>5</v>
      </c>
      <c r="B896" s="98" t="s">
        <v>99</v>
      </c>
      <c r="C896" s="108" t="s">
        <v>100</v>
      </c>
      <c r="D896" s="100" t="s">
        <v>65</v>
      </c>
      <c r="E896" s="101">
        <v>25.1</v>
      </c>
      <c r="F896" s="101"/>
      <c r="G896" s="101"/>
      <c r="H896" s="101"/>
      <c r="I896" s="27">
        <f t="shared" si="177"/>
        <v>0</v>
      </c>
      <c r="J896" s="28">
        <f t="shared" si="178"/>
        <v>0</v>
      </c>
      <c r="K896" s="29">
        <f t="shared" si="179"/>
        <v>0</v>
      </c>
      <c r="L896" s="96"/>
      <c r="M896" s="86">
        <v>1</v>
      </c>
    </row>
    <row r="897" s="86" customFormat="1" ht="72" customHeight="1" outlineLevel="2" spans="1:15">
      <c r="A897" s="103">
        <f t="shared" si="176"/>
        <v>6</v>
      </c>
      <c r="B897" s="98" t="s">
        <v>101</v>
      </c>
      <c r="C897" s="99" t="s">
        <v>102</v>
      </c>
      <c r="D897" s="100" t="s">
        <v>65</v>
      </c>
      <c r="E897" s="101">
        <v>25.1</v>
      </c>
      <c r="F897" s="101"/>
      <c r="G897" s="101"/>
      <c r="H897" s="101"/>
      <c r="I897" s="27">
        <f t="shared" si="177"/>
        <v>0</v>
      </c>
      <c r="J897" s="28">
        <f t="shared" si="178"/>
        <v>0</v>
      </c>
      <c r="K897" s="29">
        <f t="shared" si="179"/>
        <v>0</v>
      </c>
      <c r="L897" s="96"/>
      <c r="M897" s="86">
        <v>1</v>
      </c>
    </row>
    <row r="898" s="86" customFormat="1" ht="72" customHeight="1" outlineLevel="2" spans="1:15">
      <c r="A898" s="103">
        <f t="shared" si="176"/>
        <v>7</v>
      </c>
      <c r="B898" s="98" t="s">
        <v>263</v>
      </c>
      <c r="C898" s="99" t="s">
        <v>264</v>
      </c>
      <c r="D898" s="100" t="s">
        <v>65</v>
      </c>
      <c r="E898" s="101">
        <v>7.67</v>
      </c>
      <c r="F898" s="101"/>
      <c r="G898" s="101"/>
      <c r="H898" s="101"/>
      <c r="I898" s="27">
        <f t="shared" si="177"/>
        <v>0</v>
      </c>
      <c r="J898" s="28">
        <f t="shared" si="178"/>
        <v>0</v>
      </c>
      <c r="K898" s="29">
        <f t="shared" si="179"/>
        <v>0</v>
      </c>
      <c r="L898" s="96"/>
      <c r="M898" s="86">
        <v>1</v>
      </c>
    </row>
    <row r="899" s="86" customFormat="1" ht="72" customHeight="1" outlineLevel="2" spans="1:15">
      <c r="A899" s="103">
        <f t="shared" si="176"/>
        <v>8</v>
      </c>
      <c r="B899" s="98" t="s">
        <v>103</v>
      </c>
      <c r="C899" s="99" t="s">
        <v>104</v>
      </c>
      <c r="D899" s="100" t="s">
        <v>65</v>
      </c>
      <c r="E899" s="101">
        <f>1.2*2*3</f>
        <v>7.2</v>
      </c>
      <c r="F899" s="101"/>
      <c r="G899" s="101"/>
      <c r="H899" s="101"/>
      <c r="I899" s="27">
        <f t="shared" si="177"/>
        <v>0</v>
      </c>
      <c r="J899" s="28">
        <f t="shared" si="178"/>
        <v>0</v>
      </c>
      <c r="K899" s="29">
        <f t="shared" si="179"/>
        <v>0</v>
      </c>
      <c r="L899" s="96"/>
      <c r="M899" s="86">
        <v>1</v>
      </c>
    </row>
    <row r="900" s="86" customFormat="1" ht="72" customHeight="1" outlineLevel="2" spans="1:15">
      <c r="A900" s="103">
        <f t="shared" si="176"/>
        <v>9</v>
      </c>
      <c r="B900" s="98" t="s">
        <v>105</v>
      </c>
      <c r="C900" s="99" t="s">
        <v>106</v>
      </c>
      <c r="D900" s="100" t="s">
        <v>58</v>
      </c>
      <c r="E900" s="101">
        <f>78.43+25.1*0.3+7.67*0.4</f>
        <v>89.028</v>
      </c>
      <c r="F900" s="101"/>
      <c r="G900" s="101"/>
      <c r="H900" s="101"/>
      <c r="I900" s="27">
        <f t="shared" si="177"/>
        <v>0</v>
      </c>
      <c r="J900" s="28">
        <f t="shared" si="178"/>
        <v>0</v>
      </c>
      <c r="K900" s="29">
        <f t="shared" si="179"/>
        <v>0</v>
      </c>
      <c r="L900" s="96"/>
      <c r="M900" s="86">
        <v>1</v>
      </c>
    </row>
    <row r="901" s="86" customFormat="1" ht="72" customHeight="1" outlineLevel="2" spans="1:15">
      <c r="A901" s="103">
        <f t="shared" si="176"/>
        <v>10</v>
      </c>
      <c r="B901" s="98" t="s">
        <v>265</v>
      </c>
      <c r="C901" s="99" t="s">
        <v>266</v>
      </c>
      <c r="D901" s="100" t="s">
        <v>58</v>
      </c>
      <c r="E901" s="101">
        <v>8.61</v>
      </c>
      <c r="F901" s="101"/>
      <c r="G901" s="101"/>
      <c r="H901" s="101"/>
      <c r="I901" s="27">
        <f t="shared" si="177"/>
        <v>0</v>
      </c>
      <c r="J901" s="28">
        <f t="shared" si="178"/>
        <v>0</v>
      </c>
      <c r="K901" s="29">
        <f t="shared" si="179"/>
        <v>0</v>
      </c>
      <c r="L901" s="96"/>
      <c r="M901" s="86">
        <v>1</v>
      </c>
    </row>
    <row r="902" s="86" customFormat="1" ht="24" customHeight="1" outlineLevel="1" spans="1:15">
      <c r="A902" s="97"/>
      <c r="B902" s="98" t="s">
        <v>107</v>
      </c>
      <c r="C902" s="99"/>
      <c r="D902" s="100"/>
      <c r="E902" s="101"/>
      <c r="F902" s="101"/>
      <c r="G902" s="101"/>
      <c r="H902" s="101"/>
      <c r="I902" s="101"/>
      <c r="J902" s="101"/>
      <c r="K902" s="102"/>
      <c r="L902" s="96"/>
    </row>
    <row r="903" s="86" customFormat="1" ht="84" outlineLevel="2" spans="1:15">
      <c r="A903" s="103">
        <f>1+N(A902)</f>
        <v>1</v>
      </c>
      <c r="B903" s="98" t="s">
        <v>317</v>
      </c>
      <c r="C903" s="99" t="s">
        <v>416</v>
      </c>
      <c r="D903" s="100" t="s">
        <v>151</v>
      </c>
      <c r="E903" s="101">
        <v>1</v>
      </c>
      <c r="F903" s="101"/>
      <c r="G903" s="101"/>
      <c r="H903" s="101"/>
      <c r="I903" s="27">
        <f>(F903+G903+H903)*$I$3</f>
        <v>0</v>
      </c>
      <c r="J903" s="28">
        <f>ROUND(SUM(F903:I903),2)</f>
        <v>0</v>
      </c>
      <c r="K903" s="29">
        <f>ROUND(J903*E903,2)</f>
        <v>0</v>
      </c>
      <c r="L903" s="96"/>
      <c r="M903" s="86">
        <v>1</v>
      </c>
    </row>
    <row r="904" s="86" customFormat="1" ht="72" outlineLevel="2" spans="1:15">
      <c r="A904" s="103">
        <f>1+N(A903)</f>
        <v>2</v>
      </c>
      <c r="B904" s="98" t="s">
        <v>417</v>
      </c>
      <c r="C904" s="99" t="s">
        <v>418</v>
      </c>
      <c r="D904" s="100" t="s">
        <v>65</v>
      </c>
      <c r="E904" s="101">
        <v>3.4</v>
      </c>
      <c r="F904" s="101"/>
      <c r="G904" s="101"/>
      <c r="H904" s="101"/>
      <c r="I904" s="27">
        <f>(F904+G904+H904)*$I$3</f>
        <v>0</v>
      </c>
      <c r="J904" s="28">
        <f>ROUND(SUM(F904:I904),2)</f>
        <v>0</v>
      </c>
      <c r="K904" s="29">
        <f>ROUND(J904*E904,2)</f>
        <v>0</v>
      </c>
      <c r="L904" s="96"/>
      <c r="M904" s="86">
        <v>1</v>
      </c>
    </row>
    <row r="905" s="86" customFormat="1" ht="24" outlineLevel="2" spans="1:15">
      <c r="A905" s="103">
        <f>1+N(A904)</f>
        <v>3</v>
      </c>
      <c r="B905" s="98" t="s">
        <v>419</v>
      </c>
      <c r="C905" s="99" t="s">
        <v>420</v>
      </c>
      <c r="D905" s="100" t="s">
        <v>65</v>
      </c>
      <c r="E905" s="101">
        <f>3+2.6+2.2+1.8</f>
        <v>9.6</v>
      </c>
      <c r="F905" s="101"/>
      <c r="G905" s="101"/>
      <c r="H905" s="101"/>
      <c r="I905" s="27">
        <f>(F905+G905+H905)*$I$3</f>
        <v>0</v>
      </c>
      <c r="J905" s="28">
        <f>ROUND(SUM(F905:I905),2)</f>
        <v>0</v>
      </c>
      <c r="K905" s="29">
        <f>ROUND(J905*E905,2)</f>
        <v>0</v>
      </c>
      <c r="L905" s="96"/>
      <c r="M905" s="86">
        <v>1</v>
      </c>
    </row>
    <row r="906" s="86" customFormat="1" ht="24" customHeight="1" outlineLevel="1" spans="1:15">
      <c r="A906" s="92" t="s">
        <v>421</v>
      </c>
      <c r="B906" s="93" t="s">
        <v>155</v>
      </c>
      <c r="C906" s="93"/>
      <c r="D906" s="94"/>
      <c r="E906" s="95"/>
      <c r="F906" s="95"/>
      <c r="G906" s="95"/>
      <c r="H906" s="95"/>
      <c r="I906" s="95"/>
      <c r="J906" s="95"/>
      <c r="K906" s="23"/>
      <c r="L906" s="96"/>
      <c r="O906" s="86" t="str">
        <f>_xlfn.DISPIMG("ID_08529AA2B4754D7788EF3058DD12C0B7",1)</f>
        <v>=DISPIMG("ID_08529AA2B4754D7788EF3058DD12C0B7",1)</v>
      </c>
    </row>
    <row r="907" s="86" customFormat="1" ht="24" customHeight="1" outlineLevel="1" spans="1:15">
      <c r="A907" s="97"/>
      <c r="B907" s="105" t="s">
        <v>156</v>
      </c>
      <c r="C907" s="99"/>
      <c r="D907" s="100"/>
      <c r="E907" s="101"/>
      <c r="F907" s="101"/>
      <c r="G907" s="101"/>
      <c r="H907" s="101"/>
      <c r="I907" s="101"/>
      <c r="J907" s="101"/>
      <c r="K907" s="102"/>
      <c r="L907" s="96"/>
    </row>
    <row r="908" s="86" customFormat="1" ht="60" outlineLevel="2" spans="1:15">
      <c r="A908" s="103">
        <f>1+N(A907)</f>
        <v>1</v>
      </c>
      <c r="B908" s="105" t="s">
        <v>207</v>
      </c>
      <c r="C908" s="106" t="s">
        <v>208</v>
      </c>
      <c r="D908" s="100" t="s">
        <v>209</v>
      </c>
      <c r="E908" s="101">
        <f>6.22*5.67</f>
        <v>35.2674</v>
      </c>
      <c r="F908" s="101"/>
      <c r="G908" s="101"/>
      <c r="H908" s="101"/>
      <c r="I908" s="27">
        <f>(F908+G908+H908)*$I$3</f>
        <v>0</v>
      </c>
      <c r="J908" s="28">
        <f>ROUND(SUM(F908:I908),2)</f>
        <v>0</v>
      </c>
      <c r="K908" s="29">
        <f>ROUND(J908*E908,2)</f>
        <v>0</v>
      </c>
      <c r="L908" s="96"/>
      <c r="M908" s="86">
        <v>1</v>
      </c>
    </row>
    <row r="909" s="86" customFormat="1" ht="33.75" outlineLevel="2" spans="1:15">
      <c r="A909" s="103">
        <f t="shared" ref="A909:A916" si="180">1+N(A908)</f>
        <v>2</v>
      </c>
      <c r="B909" s="105" t="s">
        <v>210</v>
      </c>
      <c r="C909" s="114" t="s">
        <v>211</v>
      </c>
      <c r="D909" s="115" t="s">
        <v>58</v>
      </c>
      <c r="E909" s="101">
        <f>63.231*5.67</f>
        <v>358.51977</v>
      </c>
      <c r="F909" s="101"/>
      <c r="G909" s="101"/>
      <c r="H909" s="101"/>
      <c r="I909" s="27">
        <f t="shared" ref="I909:I916" si="181">(F909+G909+H909)*$I$3</f>
        <v>0</v>
      </c>
      <c r="J909" s="28">
        <f t="shared" ref="J909:J916" si="182">ROUND(SUM(F909:I909),2)</f>
        <v>0</v>
      </c>
      <c r="K909" s="29">
        <f t="shared" ref="K909:K916" si="183">ROUND(J909*E909,2)</f>
        <v>0</v>
      </c>
      <c r="L909" s="96"/>
      <c r="M909" s="86">
        <v>1</v>
      </c>
    </row>
    <row r="910" s="86" customFormat="1" ht="72" customHeight="1" outlineLevel="2" spans="1:15">
      <c r="A910" s="103">
        <f t="shared" si="180"/>
        <v>3</v>
      </c>
      <c r="B910" s="105" t="s">
        <v>157</v>
      </c>
      <c r="C910" s="106" t="s">
        <v>158</v>
      </c>
      <c r="D910" s="100" t="s">
        <v>58</v>
      </c>
      <c r="E910" s="101">
        <f>110.395*5.67</f>
        <v>625.93965</v>
      </c>
      <c r="F910" s="101"/>
      <c r="G910" s="101"/>
      <c r="H910" s="101"/>
      <c r="I910" s="27">
        <f t="shared" si="181"/>
        <v>0</v>
      </c>
      <c r="J910" s="28">
        <f t="shared" si="182"/>
        <v>0</v>
      </c>
      <c r="K910" s="29">
        <f t="shared" si="183"/>
        <v>0</v>
      </c>
      <c r="L910" s="96"/>
      <c r="M910" s="86">
        <v>1</v>
      </c>
    </row>
    <row r="911" s="2" customFormat="1" ht="24" customHeight="1" spans="1:15">
      <c r="A911" s="21" t="s">
        <v>422</v>
      </c>
      <c r="B911" s="21" t="s">
        <v>423</v>
      </c>
      <c r="C911" s="21"/>
      <c r="D911" s="21"/>
      <c r="E911" s="109"/>
      <c r="F911" s="109"/>
      <c r="G911" s="109"/>
      <c r="H911" s="109"/>
      <c r="I911" s="109"/>
      <c r="J911" s="109"/>
      <c r="K911" s="23">
        <f>SUM(K912:K1037)</f>
        <v>0</v>
      </c>
      <c r="L911" s="96"/>
    </row>
    <row r="912" s="86" customFormat="1" ht="24" customHeight="1" outlineLevel="1" spans="1:15">
      <c r="A912" s="92" t="s">
        <v>53</v>
      </c>
      <c r="B912" s="118" t="s">
        <v>424</v>
      </c>
      <c r="C912" s="119"/>
      <c r="D912" s="94"/>
      <c r="E912" s="95"/>
      <c r="F912" s="95"/>
      <c r="G912" s="95"/>
      <c r="H912" s="95"/>
      <c r="I912" s="95"/>
      <c r="J912" s="95"/>
      <c r="K912" s="23"/>
      <c r="L912" s="96"/>
    </row>
    <row r="913" s="86" customFormat="1" ht="24" customHeight="1" outlineLevel="1" spans="1:12">
      <c r="A913" s="97"/>
      <c r="B913" s="98" t="s">
        <v>55</v>
      </c>
      <c r="C913" s="99"/>
      <c r="D913" s="100"/>
      <c r="E913" s="101"/>
      <c r="F913" s="101"/>
      <c r="G913" s="101"/>
      <c r="H913" s="101"/>
      <c r="I913" s="101"/>
      <c r="J913" s="101"/>
      <c r="K913" s="102"/>
      <c r="L913" s="96"/>
    </row>
    <row r="914" s="86" customFormat="1" ht="48" outlineLevel="2" spans="1:12">
      <c r="A914" s="103">
        <f t="shared" si="180"/>
        <v>1</v>
      </c>
      <c r="B914" s="98" t="s">
        <v>163</v>
      </c>
      <c r="C914" s="99" t="s">
        <v>425</v>
      </c>
      <c r="D914" s="100" t="s">
        <v>58</v>
      </c>
      <c r="E914" s="101">
        <v>37.24</v>
      </c>
      <c r="F914" s="101"/>
      <c r="G914" s="101"/>
      <c r="H914" s="101"/>
      <c r="I914" s="27">
        <f t="shared" si="181"/>
        <v>0</v>
      </c>
      <c r="J914" s="28">
        <f t="shared" si="182"/>
        <v>0</v>
      </c>
      <c r="K914" s="29">
        <f t="shared" si="183"/>
        <v>0</v>
      </c>
      <c r="L914" s="96"/>
    </row>
    <row r="915" s="86" customFormat="1" ht="60" outlineLevel="2" spans="1:12">
      <c r="A915" s="103">
        <f t="shared" si="180"/>
        <v>2</v>
      </c>
      <c r="B915" s="98" t="s">
        <v>426</v>
      </c>
      <c r="C915" s="99" t="s">
        <v>427</v>
      </c>
      <c r="D915" s="100" t="s">
        <v>58</v>
      </c>
      <c r="E915" s="101">
        <v>37.24</v>
      </c>
      <c r="F915" s="101"/>
      <c r="G915" s="101"/>
      <c r="H915" s="101"/>
      <c r="I915" s="27">
        <f t="shared" si="181"/>
        <v>0</v>
      </c>
      <c r="J915" s="28">
        <f t="shared" si="182"/>
        <v>0</v>
      </c>
      <c r="K915" s="29">
        <f t="shared" si="183"/>
        <v>0</v>
      </c>
      <c r="L915" s="96"/>
    </row>
    <row r="916" s="86" customFormat="1" ht="36" outlineLevel="2" spans="1:12">
      <c r="A916" s="103">
        <f t="shared" si="180"/>
        <v>3</v>
      </c>
      <c r="B916" s="98" t="s">
        <v>63</v>
      </c>
      <c r="C916" s="99" t="s">
        <v>64</v>
      </c>
      <c r="D916" s="100" t="s">
        <v>65</v>
      </c>
      <c r="E916" s="101">
        <v>3.86</v>
      </c>
      <c r="F916" s="101"/>
      <c r="G916" s="101"/>
      <c r="H916" s="101"/>
      <c r="I916" s="27">
        <f t="shared" si="181"/>
        <v>0</v>
      </c>
      <c r="J916" s="28">
        <f t="shared" si="182"/>
        <v>0</v>
      </c>
      <c r="K916" s="29">
        <f t="shared" si="183"/>
        <v>0</v>
      </c>
      <c r="L916" s="96"/>
    </row>
    <row r="917" s="86" customFormat="1" ht="24" customHeight="1" outlineLevel="1" spans="1:12">
      <c r="A917" s="97"/>
      <c r="B917" s="98" t="s">
        <v>68</v>
      </c>
      <c r="C917" s="99"/>
      <c r="D917" s="100"/>
      <c r="E917" s="101"/>
      <c r="F917" s="101"/>
      <c r="G917" s="101"/>
      <c r="H917" s="101"/>
      <c r="I917" s="101"/>
      <c r="J917" s="101"/>
      <c r="K917" s="102"/>
      <c r="L917" s="96"/>
    </row>
    <row r="918" s="86" customFormat="1" ht="48" outlineLevel="2" spans="1:12">
      <c r="A918" s="103">
        <f t="shared" ref="A918:A923" si="184">1+N(A917)</f>
        <v>1</v>
      </c>
      <c r="B918" s="104" t="s">
        <v>428</v>
      </c>
      <c r="C918" s="99" t="s">
        <v>429</v>
      </c>
      <c r="D918" s="100" t="s">
        <v>58</v>
      </c>
      <c r="E918" s="101">
        <v>46.905</v>
      </c>
      <c r="F918" s="101"/>
      <c r="G918" s="101"/>
      <c r="H918" s="101"/>
      <c r="I918" s="27">
        <f t="shared" ref="I918:I923" si="185">(F918+G918+H918)*$I$3</f>
        <v>0</v>
      </c>
      <c r="J918" s="28">
        <f t="shared" ref="J918:J923" si="186">ROUND(SUM(F918:I918),2)</f>
        <v>0</v>
      </c>
      <c r="K918" s="29">
        <f t="shared" ref="K918:K923" si="187">ROUND(J918*E918,2)</f>
        <v>0</v>
      </c>
      <c r="L918" s="96"/>
    </row>
    <row r="919" s="86" customFormat="1" ht="60" outlineLevel="2" spans="1:12">
      <c r="A919" s="103">
        <f t="shared" si="184"/>
        <v>2</v>
      </c>
      <c r="B919" s="105" t="s">
        <v>169</v>
      </c>
      <c r="C919" s="106" t="s">
        <v>170</v>
      </c>
      <c r="D919" s="100" t="s">
        <v>58</v>
      </c>
      <c r="E919" s="101">
        <v>24.75</v>
      </c>
      <c r="F919" s="101"/>
      <c r="G919" s="101"/>
      <c r="H919" s="101"/>
      <c r="I919" s="27">
        <f t="shared" si="185"/>
        <v>0</v>
      </c>
      <c r="J919" s="28">
        <f t="shared" si="186"/>
        <v>0</v>
      </c>
      <c r="K919" s="29">
        <f t="shared" si="187"/>
        <v>0</v>
      </c>
      <c r="L919" s="96"/>
    </row>
    <row r="920" s="86" customFormat="1" ht="48" outlineLevel="2" spans="1:12">
      <c r="A920" s="103">
        <f t="shared" si="184"/>
        <v>3</v>
      </c>
      <c r="B920" s="105" t="s">
        <v>86</v>
      </c>
      <c r="C920" s="120" t="s">
        <v>87</v>
      </c>
      <c r="D920" s="100" t="s">
        <v>65</v>
      </c>
      <c r="E920" s="101">
        <v>25.518</v>
      </c>
      <c r="F920" s="101"/>
      <c r="G920" s="101"/>
      <c r="H920" s="101"/>
      <c r="I920" s="27">
        <f t="shared" si="185"/>
        <v>0</v>
      </c>
      <c r="J920" s="28">
        <f t="shared" si="186"/>
        <v>0</v>
      </c>
      <c r="K920" s="29">
        <f t="shared" si="187"/>
        <v>0</v>
      </c>
      <c r="L920" s="96"/>
    </row>
    <row r="921" s="86" customFormat="1" ht="60" customHeight="1" outlineLevel="2" spans="1:12">
      <c r="A921" s="103">
        <f t="shared" si="184"/>
        <v>4</v>
      </c>
      <c r="B921" s="98" t="s">
        <v>94</v>
      </c>
      <c r="C921" s="99" t="s">
        <v>95</v>
      </c>
      <c r="D921" s="100" t="s">
        <v>65</v>
      </c>
      <c r="E921" s="101">
        <v>21.491</v>
      </c>
      <c r="F921" s="101"/>
      <c r="G921" s="101"/>
      <c r="H921" s="101"/>
      <c r="I921" s="27">
        <f t="shared" si="185"/>
        <v>0</v>
      </c>
      <c r="J921" s="28">
        <f t="shared" si="186"/>
        <v>0</v>
      </c>
      <c r="K921" s="29">
        <f t="shared" si="187"/>
        <v>0</v>
      </c>
      <c r="L921" s="96"/>
    </row>
    <row r="922" s="86" customFormat="1" ht="60" customHeight="1" outlineLevel="2" spans="1:12">
      <c r="A922" s="103">
        <f t="shared" si="184"/>
        <v>5</v>
      </c>
      <c r="B922" s="98" t="s">
        <v>234</v>
      </c>
      <c r="C922" s="99" t="s">
        <v>235</v>
      </c>
      <c r="D922" s="100" t="s">
        <v>58</v>
      </c>
      <c r="E922" s="101">
        <f>+(2.05+3.4-1)*2*2*0.095</f>
        <v>1.691</v>
      </c>
      <c r="F922" s="101"/>
      <c r="G922" s="101"/>
      <c r="H922" s="101"/>
      <c r="I922" s="27">
        <f t="shared" si="185"/>
        <v>0</v>
      </c>
      <c r="J922" s="28">
        <f t="shared" si="186"/>
        <v>0</v>
      </c>
      <c r="K922" s="29">
        <f t="shared" si="187"/>
        <v>0</v>
      </c>
      <c r="L922" s="96"/>
    </row>
    <row r="923" s="86" customFormat="1" ht="60" customHeight="1" outlineLevel="2" spans="1:12">
      <c r="A923" s="103">
        <f t="shared" si="184"/>
        <v>6</v>
      </c>
      <c r="B923" s="98" t="s">
        <v>77</v>
      </c>
      <c r="C923" s="99" t="s">
        <v>78</v>
      </c>
      <c r="D923" s="100" t="s">
        <v>58</v>
      </c>
      <c r="E923" s="101">
        <f>0.42*2*3.2+(0.425+0.193+0.04)*3.82+0.23*2*3.2+0.21*0.95</f>
        <v>6.87306</v>
      </c>
      <c r="F923" s="101"/>
      <c r="G923" s="101"/>
      <c r="H923" s="101"/>
      <c r="I923" s="27">
        <f t="shared" si="185"/>
        <v>0</v>
      </c>
      <c r="J923" s="28">
        <f t="shared" si="186"/>
        <v>0</v>
      </c>
      <c r="K923" s="29">
        <f t="shared" si="187"/>
        <v>0</v>
      </c>
      <c r="L923" s="96"/>
    </row>
    <row r="924" s="86" customFormat="1" ht="24" customHeight="1" outlineLevel="1" spans="1:12">
      <c r="A924" s="97"/>
      <c r="B924" s="98" t="s">
        <v>96</v>
      </c>
      <c r="C924" s="99"/>
      <c r="D924" s="100"/>
      <c r="E924" s="101"/>
      <c r="F924" s="101"/>
      <c r="G924" s="101"/>
      <c r="H924" s="101"/>
      <c r="I924" s="101"/>
      <c r="J924" s="101"/>
      <c r="K924" s="102"/>
      <c r="L924" s="96"/>
    </row>
    <row r="925" s="86" customFormat="1" ht="96" outlineLevel="2" spans="1:12">
      <c r="A925" s="103">
        <f t="shared" ref="A925:A930" si="188">1+N(A924)</f>
        <v>1</v>
      </c>
      <c r="B925" s="98" t="s">
        <v>272</v>
      </c>
      <c r="C925" s="108" t="s">
        <v>98</v>
      </c>
      <c r="D925" s="100" t="s">
        <v>58</v>
      </c>
      <c r="E925" s="101">
        <v>39.673</v>
      </c>
      <c r="F925" s="101"/>
      <c r="G925" s="101"/>
      <c r="H925" s="101"/>
      <c r="I925" s="27">
        <f t="shared" ref="I925:I930" si="189">(F925+G925+H925)*$I$3</f>
        <v>0</v>
      </c>
      <c r="J925" s="28">
        <f t="shared" ref="J925:J930" si="190">ROUND(SUM(F925:I925),2)</f>
        <v>0</v>
      </c>
      <c r="K925" s="29">
        <f t="shared" ref="K925:K930" si="191">ROUND(J925*E925,2)</f>
        <v>0</v>
      </c>
      <c r="L925" s="96"/>
    </row>
    <row r="926" s="86" customFormat="1" ht="72" customHeight="1" outlineLevel="2" spans="1:12">
      <c r="A926" s="103">
        <f t="shared" si="188"/>
        <v>2</v>
      </c>
      <c r="B926" s="98" t="s">
        <v>430</v>
      </c>
      <c r="C926" s="108" t="s">
        <v>431</v>
      </c>
      <c r="D926" s="100" t="s">
        <v>65</v>
      </c>
      <c r="E926" s="101">
        <v>51.08</v>
      </c>
      <c r="F926" s="101"/>
      <c r="G926" s="101"/>
      <c r="H926" s="101"/>
      <c r="I926" s="27">
        <f t="shared" si="189"/>
        <v>0</v>
      </c>
      <c r="J926" s="28">
        <f t="shared" si="190"/>
        <v>0</v>
      </c>
      <c r="K926" s="29">
        <f t="shared" si="191"/>
        <v>0</v>
      </c>
      <c r="L926" s="96"/>
    </row>
    <row r="927" s="86" customFormat="1" ht="72" customHeight="1" outlineLevel="2" spans="1:12">
      <c r="A927" s="103">
        <f t="shared" si="188"/>
        <v>3</v>
      </c>
      <c r="B927" s="98" t="s">
        <v>101</v>
      </c>
      <c r="C927" s="99" t="s">
        <v>432</v>
      </c>
      <c r="D927" s="100" t="s">
        <v>65</v>
      </c>
      <c r="E927" s="101">
        <v>51.08</v>
      </c>
      <c r="F927" s="101"/>
      <c r="G927" s="101"/>
      <c r="H927" s="101"/>
      <c r="I927" s="27">
        <f t="shared" si="189"/>
        <v>0</v>
      </c>
      <c r="J927" s="28">
        <f t="shared" si="190"/>
        <v>0</v>
      </c>
      <c r="K927" s="29">
        <f t="shared" si="191"/>
        <v>0</v>
      </c>
      <c r="L927" s="96"/>
    </row>
    <row r="928" s="86" customFormat="1" ht="72" customHeight="1" outlineLevel="2" spans="1:12">
      <c r="A928" s="103">
        <f t="shared" si="188"/>
        <v>4</v>
      </c>
      <c r="B928" s="98" t="s">
        <v>433</v>
      </c>
      <c r="C928" s="99" t="s">
        <v>434</v>
      </c>
      <c r="D928" s="100" t="s">
        <v>65</v>
      </c>
      <c r="E928" s="101">
        <v>4.525</v>
      </c>
      <c r="F928" s="101"/>
      <c r="G928" s="101"/>
      <c r="H928" s="101"/>
      <c r="I928" s="27">
        <f t="shared" si="189"/>
        <v>0</v>
      </c>
      <c r="J928" s="28">
        <f t="shared" si="190"/>
        <v>0</v>
      </c>
      <c r="K928" s="29">
        <f t="shared" si="191"/>
        <v>0</v>
      </c>
      <c r="L928" s="96"/>
    </row>
    <row r="929" s="86" customFormat="1" ht="72" customHeight="1" outlineLevel="2" spans="1:12">
      <c r="A929" s="103">
        <f t="shared" si="188"/>
        <v>5</v>
      </c>
      <c r="B929" s="98" t="s">
        <v>103</v>
      </c>
      <c r="C929" s="99" t="s">
        <v>104</v>
      </c>
      <c r="D929" s="100" t="s">
        <v>65</v>
      </c>
      <c r="E929" s="101">
        <f>7.27+5.42</f>
        <v>12.69</v>
      </c>
      <c r="F929" s="101"/>
      <c r="G929" s="101"/>
      <c r="H929" s="101"/>
      <c r="I929" s="27">
        <f t="shared" si="189"/>
        <v>0</v>
      </c>
      <c r="J929" s="28">
        <f t="shared" si="190"/>
        <v>0</v>
      </c>
      <c r="K929" s="29">
        <f t="shared" si="191"/>
        <v>0</v>
      </c>
      <c r="L929" s="96"/>
    </row>
    <row r="930" s="86" customFormat="1" ht="72" customHeight="1" outlineLevel="2" spans="1:12">
      <c r="A930" s="103">
        <f t="shared" si="188"/>
        <v>6</v>
      </c>
      <c r="B930" s="98" t="s">
        <v>105</v>
      </c>
      <c r="C930" s="99" t="s">
        <v>106</v>
      </c>
      <c r="D930" s="100" t="s">
        <v>58</v>
      </c>
      <c r="E930" s="101">
        <f>57.767+E928*(0.1+0.2)</f>
        <v>59.1245</v>
      </c>
      <c r="F930" s="101"/>
      <c r="G930" s="101"/>
      <c r="H930" s="101"/>
      <c r="I930" s="27">
        <f t="shared" si="189"/>
        <v>0</v>
      </c>
      <c r="J930" s="28">
        <f t="shared" si="190"/>
        <v>0</v>
      </c>
      <c r="K930" s="29">
        <f t="shared" si="191"/>
        <v>0</v>
      </c>
      <c r="L930" s="96"/>
    </row>
    <row r="931" s="86" customFormat="1" ht="24" customHeight="1" outlineLevel="1" spans="1:12">
      <c r="A931" s="97"/>
      <c r="B931" s="98" t="s">
        <v>107</v>
      </c>
      <c r="C931" s="99"/>
      <c r="D931" s="100"/>
      <c r="E931" s="101"/>
      <c r="F931" s="101"/>
      <c r="G931" s="101"/>
      <c r="H931" s="101"/>
      <c r="I931" s="101"/>
      <c r="J931" s="101"/>
      <c r="K931" s="102"/>
      <c r="L931" s="96"/>
    </row>
    <row r="932" s="86" customFormat="1" ht="60" outlineLevel="2" spans="1:12">
      <c r="A932" s="103">
        <f t="shared" ref="A932:A934" si="192">1+N(A931)</f>
        <v>1</v>
      </c>
      <c r="B932" s="98" t="s">
        <v>435</v>
      </c>
      <c r="C932" s="99" t="s">
        <v>325</v>
      </c>
      <c r="D932" s="100" t="s">
        <v>58</v>
      </c>
      <c r="E932" s="101">
        <f>0.9*3.185</f>
        <v>2.8665</v>
      </c>
      <c r="F932" s="101"/>
      <c r="G932" s="101"/>
      <c r="H932" s="101"/>
      <c r="I932" s="27">
        <f t="shared" ref="I932:I934" si="193">(F932+G932+H932)*$I$3</f>
        <v>0</v>
      </c>
      <c r="J932" s="28">
        <f t="shared" ref="J932:J934" si="194">ROUND(SUM(F932:I932),2)</f>
        <v>0</v>
      </c>
      <c r="K932" s="29">
        <f t="shared" ref="K932:K934" si="195">ROUND(J932*E932,2)</f>
        <v>0</v>
      </c>
      <c r="L932" s="96"/>
    </row>
    <row r="933" s="86" customFormat="1" ht="36" outlineLevel="2" spans="1:12">
      <c r="A933" s="103">
        <f t="shared" si="192"/>
        <v>2</v>
      </c>
      <c r="B933" s="98" t="s">
        <v>436</v>
      </c>
      <c r="C933" s="99" t="s">
        <v>437</v>
      </c>
      <c r="D933" s="100" t="s">
        <v>58</v>
      </c>
      <c r="E933" s="101">
        <f>2.92*3.185</f>
        <v>9.3002</v>
      </c>
      <c r="F933" s="101"/>
      <c r="G933" s="101"/>
      <c r="H933" s="101"/>
      <c r="I933" s="27">
        <f t="shared" si="193"/>
        <v>0</v>
      </c>
      <c r="J933" s="28">
        <f t="shared" si="194"/>
        <v>0</v>
      </c>
      <c r="K933" s="29">
        <f t="shared" si="195"/>
        <v>0</v>
      </c>
      <c r="L933" s="96"/>
    </row>
    <row r="934" s="86" customFormat="1" ht="48" outlineLevel="2" spans="1:12">
      <c r="A934" s="103">
        <f t="shared" si="192"/>
        <v>3</v>
      </c>
      <c r="B934" s="98" t="s">
        <v>438</v>
      </c>
      <c r="C934" s="99" t="s">
        <v>293</v>
      </c>
      <c r="D934" s="100" t="s">
        <v>58</v>
      </c>
      <c r="E934" s="101">
        <f>0.9*3.2</f>
        <v>2.88</v>
      </c>
      <c r="F934" s="101"/>
      <c r="G934" s="101"/>
      <c r="H934" s="101"/>
      <c r="I934" s="27">
        <f t="shared" si="193"/>
        <v>0</v>
      </c>
      <c r="J934" s="28">
        <f t="shared" si="194"/>
        <v>0</v>
      </c>
      <c r="K934" s="29">
        <f t="shared" si="195"/>
        <v>0</v>
      </c>
      <c r="L934" s="96"/>
    </row>
    <row r="935" s="86" customFormat="1" ht="24" customHeight="1" outlineLevel="1" spans="1:12">
      <c r="A935" s="92" t="s">
        <v>114</v>
      </c>
      <c r="B935" s="118" t="s">
        <v>439</v>
      </c>
      <c r="C935" s="119"/>
      <c r="D935" s="94"/>
      <c r="E935" s="95"/>
      <c r="F935" s="95"/>
      <c r="G935" s="95"/>
      <c r="H935" s="95"/>
      <c r="I935" s="95"/>
      <c r="J935" s="95"/>
      <c r="K935" s="23"/>
      <c r="L935" s="96"/>
    </row>
    <row r="936" s="86" customFormat="1" ht="24" customHeight="1" outlineLevel="1" spans="1:12">
      <c r="A936" s="97"/>
      <c r="B936" s="98" t="s">
        <v>55</v>
      </c>
      <c r="C936" s="99"/>
      <c r="D936" s="100"/>
      <c r="E936" s="101"/>
      <c r="F936" s="101"/>
      <c r="G936" s="101"/>
      <c r="H936" s="101"/>
      <c r="I936" s="101"/>
      <c r="J936" s="101"/>
      <c r="K936" s="102"/>
      <c r="L936" s="96"/>
    </row>
    <row r="937" s="86" customFormat="1" ht="48" outlineLevel="2" spans="1:12">
      <c r="A937" s="103">
        <f t="shared" ref="A937:A941" si="196">1+N(A936)</f>
        <v>1</v>
      </c>
      <c r="B937" s="98" t="s">
        <v>163</v>
      </c>
      <c r="C937" s="99" t="s">
        <v>425</v>
      </c>
      <c r="D937" s="100" t="s">
        <v>58</v>
      </c>
      <c r="E937" s="101">
        <f>+E938+E939+E940</f>
        <v>122.835</v>
      </c>
      <c r="F937" s="101"/>
      <c r="G937" s="101"/>
      <c r="H937" s="101"/>
      <c r="I937" s="27">
        <f t="shared" ref="I937:I941" si="197">(F937+G937+H937)*$I$3</f>
        <v>0</v>
      </c>
      <c r="J937" s="28">
        <f t="shared" ref="J937:J941" si="198">ROUND(SUM(F937:I937),2)</f>
        <v>0</v>
      </c>
      <c r="K937" s="29">
        <f t="shared" ref="K937:K941" si="199">ROUND(J937*E937,2)</f>
        <v>0</v>
      </c>
      <c r="L937" s="96"/>
    </row>
    <row r="938" s="86" customFormat="1" ht="60" outlineLevel="2" spans="1:12">
      <c r="A938" s="103">
        <f t="shared" si="196"/>
        <v>2</v>
      </c>
      <c r="B938" s="98" t="s">
        <v>440</v>
      </c>
      <c r="C938" s="99" t="s">
        <v>441</v>
      </c>
      <c r="D938" s="100" t="s">
        <v>58</v>
      </c>
      <c r="E938" s="101">
        <v>39.677</v>
      </c>
      <c r="F938" s="101"/>
      <c r="G938" s="101"/>
      <c r="H938" s="101"/>
      <c r="I938" s="27">
        <f t="shared" si="197"/>
        <v>0</v>
      </c>
      <c r="J938" s="28">
        <f t="shared" si="198"/>
        <v>0</v>
      </c>
      <c r="K938" s="29">
        <f t="shared" si="199"/>
        <v>0</v>
      </c>
      <c r="L938" s="96"/>
    </row>
    <row r="939" s="86" customFormat="1" ht="60" outlineLevel="2" spans="1:12">
      <c r="A939" s="103">
        <f t="shared" si="196"/>
        <v>3</v>
      </c>
      <c r="B939" s="98" t="s">
        <v>442</v>
      </c>
      <c r="C939" s="99" t="s">
        <v>443</v>
      </c>
      <c r="D939" s="100" t="s">
        <v>58</v>
      </c>
      <c r="E939" s="101">
        <v>49.103</v>
      </c>
      <c r="F939" s="101"/>
      <c r="G939" s="101"/>
      <c r="H939" s="101"/>
      <c r="I939" s="27">
        <f t="shared" si="197"/>
        <v>0</v>
      </c>
      <c r="J939" s="28">
        <f t="shared" si="198"/>
        <v>0</v>
      </c>
      <c r="K939" s="29">
        <f t="shared" si="199"/>
        <v>0</v>
      </c>
      <c r="L939" s="96"/>
    </row>
    <row r="940" s="86" customFormat="1" ht="60" outlineLevel="2" spans="1:12">
      <c r="A940" s="103">
        <f t="shared" si="196"/>
        <v>4</v>
      </c>
      <c r="B940" s="98" t="s">
        <v>444</v>
      </c>
      <c r="C940" s="99" t="s">
        <v>445</v>
      </c>
      <c r="D940" s="100" t="s">
        <v>58</v>
      </c>
      <c r="E940" s="101">
        <v>34.055</v>
      </c>
      <c r="F940" s="101"/>
      <c r="G940" s="101"/>
      <c r="H940" s="101"/>
      <c r="I940" s="27">
        <f t="shared" si="197"/>
        <v>0</v>
      </c>
      <c r="J940" s="28">
        <f t="shared" si="198"/>
        <v>0</v>
      </c>
      <c r="K940" s="29">
        <f t="shared" si="199"/>
        <v>0</v>
      </c>
      <c r="L940" s="96"/>
    </row>
    <row r="941" s="86" customFormat="1" ht="36" outlineLevel="2" spans="1:12">
      <c r="A941" s="103">
        <f t="shared" si="196"/>
        <v>5</v>
      </c>
      <c r="B941" s="98" t="s">
        <v>63</v>
      </c>
      <c r="C941" s="99" t="s">
        <v>64</v>
      </c>
      <c r="D941" s="100" t="s">
        <v>65</v>
      </c>
      <c r="E941" s="101">
        <v>13.565</v>
      </c>
      <c r="F941" s="101"/>
      <c r="G941" s="101"/>
      <c r="H941" s="101"/>
      <c r="I941" s="27">
        <f t="shared" si="197"/>
        <v>0</v>
      </c>
      <c r="J941" s="28">
        <f t="shared" si="198"/>
        <v>0</v>
      </c>
      <c r="K941" s="29">
        <f t="shared" si="199"/>
        <v>0</v>
      </c>
      <c r="L941" s="96"/>
    </row>
    <row r="942" s="86" customFormat="1" ht="24" customHeight="1" outlineLevel="1" spans="1:12">
      <c r="A942" s="97"/>
      <c r="B942" s="98" t="s">
        <v>68</v>
      </c>
      <c r="C942" s="99"/>
      <c r="D942" s="100"/>
      <c r="E942" s="101"/>
      <c r="F942" s="101"/>
      <c r="G942" s="101"/>
      <c r="H942" s="101"/>
      <c r="I942" s="101"/>
      <c r="J942" s="101"/>
      <c r="K942" s="102"/>
      <c r="L942" s="96"/>
    </row>
    <row r="943" s="86" customFormat="1" ht="48" outlineLevel="2" spans="1:12">
      <c r="A943" s="103">
        <f t="shared" ref="A943:A948" si="200">1+N(A942)</f>
        <v>1</v>
      </c>
      <c r="B943" s="104" t="s">
        <v>428</v>
      </c>
      <c r="C943" s="99" t="s">
        <v>429</v>
      </c>
      <c r="D943" s="100" t="s">
        <v>58</v>
      </c>
      <c r="E943" s="101">
        <v>162.637</v>
      </c>
      <c r="F943" s="101"/>
      <c r="G943" s="101"/>
      <c r="H943" s="101"/>
      <c r="I943" s="27">
        <f t="shared" ref="I943:I948" si="201">(F943+G943+H943)*$I$3</f>
        <v>0</v>
      </c>
      <c r="J943" s="28">
        <f t="shared" ref="J943:J948" si="202">ROUND(SUM(F943:I943),2)</f>
        <v>0</v>
      </c>
      <c r="K943" s="29">
        <f t="shared" ref="K943:K948" si="203">ROUND(J943*E943,2)</f>
        <v>0</v>
      </c>
      <c r="L943" s="96"/>
    </row>
    <row r="944" s="86" customFormat="1" ht="60" outlineLevel="2" spans="1:12">
      <c r="A944" s="103">
        <f t="shared" si="200"/>
        <v>2</v>
      </c>
      <c r="B944" s="105" t="s">
        <v>169</v>
      </c>
      <c r="C944" s="106" t="s">
        <v>170</v>
      </c>
      <c r="D944" s="100" t="s">
        <v>58</v>
      </c>
      <c r="E944" s="101">
        <v>30.897</v>
      </c>
      <c r="F944" s="101"/>
      <c r="G944" s="101"/>
      <c r="H944" s="101"/>
      <c r="I944" s="27">
        <f t="shared" si="201"/>
        <v>0</v>
      </c>
      <c r="J944" s="28">
        <f t="shared" si="202"/>
        <v>0</v>
      </c>
      <c r="K944" s="29">
        <f t="shared" si="203"/>
        <v>0</v>
      </c>
      <c r="L944" s="96"/>
    </row>
    <row r="945" s="86" customFormat="1" ht="48" outlineLevel="2" spans="1:12">
      <c r="A945" s="103">
        <f t="shared" si="200"/>
        <v>3</v>
      </c>
      <c r="B945" s="105" t="s">
        <v>86</v>
      </c>
      <c r="C945" s="120" t="s">
        <v>87</v>
      </c>
      <c r="D945" s="100" t="s">
        <v>65</v>
      </c>
      <c r="E945" s="101">
        <v>71.085</v>
      </c>
      <c r="F945" s="101"/>
      <c r="G945" s="101"/>
      <c r="H945" s="101"/>
      <c r="I945" s="27">
        <f t="shared" si="201"/>
        <v>0</v>
      </c>
      <c r="J945" s="28">
        <f t="shared" si="202"/>
        <v>0</v>
      </c>
      <c r="K945" s="29">
        <f t="shared" si="203"/>
        <v>0</v>
      </c>
      <c r="L945" s="96"/>
    </row>
    <row r="946" s="86" customFormat="1" ht="60" customHeight="1" outlineLevel="2" spans="1:12">
      <c r="A946" s="103">
        <f t="shared" si="200"/>
        <v>4</v>
      </c>
      <c r="B946" s="98" t="s">
        <v>94</v>
      </c>
      <c r="C946" s="99" t="s">
        <v>95</v>
      </c>
      <c r="D946" s="100" t="s">
        <v>65</v>
      </c>
      <c r="E946" s="101">
        <v>58.436</v>
      </c>
      <c r="F946" s="101"/>
      <c r="G946" s="101"/>
      <c r="H946" s="101"/>
      <c r="I946" s="27">
        <f t="shared" si="201"/>
        <v>0</v>
      </c>
      <c r="J946" s="28">
        <f t="shared" si="202"/>
        <v>0</v>
      </c>
      <c r="K946" s="29">
        <f t="shared" si="203"/>
        <v>0</v>
      </c>
      <c r="L946" s="96"/>
    </row>
    <row r="947" s="86" customFormat="1" ht="60" customHeight="1" outlineLevel="2" spans="1:12">
      <c r="A947" s="103">
        <f t="shared" si="200"/>
        <v>5</v>
      </c>
      <c r="B947" s="98" t="s">
        <v>234</v>
      </c>
      <c r="C947" s="99" t="s">
        <v>235</v>
      </c>
      <c r="D947" s="100" t="s">
        <v>58</v>
      </c>
      <c r="E947" s="101">
        <f>+(2.05+3.4-1)*2*4*0.095+(1.75+3.4-1)*2*2*0.095+(2.65+3.4-1)*2*0.095</f>
        <v>5.9185</v>
      </c>
      <c r="F947" s="101"/>
      <c r="G947" s="101"/>
      <c r="H947" s="101"/>
      <c r="I947" s="27">
        <f t="shared" si="201"/>
        <v>0</v>
      </c>
      <c r="J947" s="28">
        <f t="shared" si="202"/>
        <v>0</v>
      </c>
      <c r="K947" s="29">
        <f t="shared" si="203"/>
        <v>0</v>
      </c>
      <c r="L947" s="96"/>
    </row>
    <row r="948" s="86" customFormat="1" ht="60" customHeight="1" outlineLevel="2" spans="1:12">
      <c r="A948" s="103">
        <f t="shared" si="200"/>
        <v>6</v>
      </c>
      <c r="B948" s="98" t="s">
        <v>77</v>
      </c>
      <c r="C948" s="99" t="s">
        <v>78</v>
      </c>
      <c r="D948" s="100" t="s">
        <v>58</v>
      </c>
      <c r="E948" s="101">
        <f>0.42*4*3.2+(0.425+0.193+0.04)*(5.9+1.65+5.62)</f>
        <v>14.04186</v>
      </c>
      <c r="F948" s="101"/>
      <c r="G948" s="101"/>
      <c r="H948" s="101"/>
      <c r="I948" s="27">
        <f t="shared" si="201"/>
        <v>0</v>
      </c>
      <c r="J948" s="28">
        <f t="shared" si="202"/>
        <v>0</v>
      </c>
      <c r="K948" s="29">
        <f t="shared" si="203"/>
        <v>0</v>
      </c>
      <c r="L948" s="96"/>
    </row>
    <row r="949" s="86" customFormat="1" ht="24" customHeight="1" outlineLevel="1" spans="1:12">
      <c r="A949" s="97"/>
      <c r="B949" s="98" t="s">
        <v>96</v>
      </c>
      <c r="C949" s="99"/>
      <c r="D949" s="100"/>
      <c r="E949" s="101"/>
      <c r="F949" s="101"/>
      <c r="G949" s="101"/>
      <c r="H949" s="101"/>
      <c r="I949" s="101"/>
      <c r="J949" s="101"/>
      <c r="K949" s="102"/>
      <c r="L949" s="96"/>
    </row>
    <row r="950" s="86" customFormat="1" ht="96" outlineLevel="2" spans="1:12">
      <c r="A950" s="103">
        <f t="shared" ref="A950:A953" si="204">1+N(A949)</f>
        <v>1</v>
      </c>
      <c r="B950" s="98" t="s">
        <v>272</v>
      </c>
      <c r="C950" s="108" t="s">
        <v>98</v>
      </c>
      <c r="D950" s="100" t="s">
        <v>58</v>
      </c>
      <c r="E950" s="101">
        <v>120.825</v>
      </c>
      <c r="F950" s="101"/>
      <c r="G950" s="101"/>
      <c r="H950" s="101"/>
      <c r="I950" s="27">
        <f t="shared" ref="I950:I953" si="205">(F950+G950+H950)*$I$3</f>
        <v>0</v>
      </c>
      <c r="J950" s="28">
        <f t="shared" ref="J950:J953" si="206">ROUND(SUM(F950:I950),2)</f>
        <v>0</v>
      </c>
      <c r="K950" s="29">
        <f t="shared" ref="K950:K953" si="207">ROUND(J950*E950,2)</f>
        <v>0</v>
      </c>
      <c r="L950" s="96"/>
    </row>
    <row r="951" s="86" customFormat="1" ht="72" customHeight="1" outlineLevel="2" spans="1:12">
      <c r="A951" s="103">
        <f t="shared" si="204"/>
        <v>2</v>
      </c>
      <c r="B951" s="98" t="s">
        <v>433</v>
      </c>
      <c r="C951" s="99" t="s">
        <v>434</v>
      </c>
      <c r="D951" s="100" t="s">
        <v>65</v>
      </c>
      <c r="E951" s="101">
        <v>16.624</v>
      </c>
      <c r="F951" s="101"/>
      <c r="G951" s="101"/>
      <c r="H951" s="101"/>
      <c r="I951" s="27">
        <f t="shared" si="205"/>
        <v>0</v>
      </c>
      <c r="J951" s="28">
        <f t="shared" si="206"/>
        <v>0</v>
      </c>
      <c r="K951" s="29">
        <f t="shared" si="207"/>
        <v>0</v>
      </c>
      <c r="L951" s="96"/>
    </row>
    <row r="952" s="86" customFormat="1" ht="72" customHeight="1" outlineLevel="2" spans="1:12">
      <c r="A952" s="103">
        <f t="shared" si="204"/>
        <v>3</v>
      </c>
      <c r="B952" s="98" t="s">
        <v>103</v>
      </c>
      <c r="C952" s="99" t="s">
        <v>104</v>
      </c>
      <c r="D952" s="100" t="s">
        <v>65</v>
      </c>
      <c r="E952" s="101">
        <f>2.8+6.21+2.11+5.97+1*4</f>
        <v>21.09</v>
      </c>
      <c r="F952" s="101"/>
      <c r="G952" s="101"/>
      <c r="H952" s="101"/>
      <c r="I952" s="27">
        <f t="shared" si="205"/>
        <v>0</v>
      </c>
      <c r="J952" s="28">
        <f t="shared" si="206"/>
        <v>0</v>
      </c>
      <c r="K952" s="29">
        <f t="shared" si="207"/>
        <v>0</v>
      </c>
      <c r="L952" s="96"/>
    </row>
    <row r="953" s="86" customFormat="1" ht="72" customHeight="1" outlineLevel="2" spans="1:12">
      <c r="A953" s="103">
        <f t="shared" si="204"/>
        <v>4</v>
      </c>
      <c r="B953" s="98" t="s">
        <v>105</v>
      </c>
      <c r="C953" s="99" t="s">
        <v>106</v>
      </c>
      <c r="D953" s="100" t="s">
        <v>58</v>
      </c>
      <c r="E953" s="101">
        <f>136.716+E951*(0.1+0.2)</f>
        <v>141.7032</v>
      </c>
      <c r="F953" s="101"/>
      <c r="G953" s="101"/>
      <c r="H953" s="101"/>
      <c r="I953" s="27">
        <f t="shared" si="205"/>
        <v>0</v>
      </c>
      <c r="J953" s="28">
        <f t="shared" si="206"/>
        <v>0</v>
      </c>
      <c r="K953" s="29">
        <f t="shared" si="207"/>
        <v>0</v>
      </c>
      <c r="L953" s="96"/>
    </row>
    <row r="954" s="86" customFormat="1" ht="24" customHeight="1" outlineLevel="1" spans="1:12">
      <c r="A954" s="97"/>
      <c r="B954" s="98" t="s">
        <v>107</v>
      </c>
      <c r="C954" s="99"/>
      <c r="D954" s="100"/>
      <c r="E954" s="101"/>
      <c r="F954" s="101"/>
      <c r="G954" s="101"/>
      <c r="H954" s="101"/>
      <c r="I954" s="101"/>
      <c r="J954" s="101"/>
      <c r="K954" s="102"/>
      <c r="L954" s="96"/>
    </row>
    <row r="955" s="86" customFormat="1" ht="60" outlineLevel="2" spans="1:12">
      <c r="A955" s="103">
        <f t="shared" ref="A955:A960" si="208">1+N(A954)</f>
        <v>1</v>
      </c>
      <c r="B955" s="98" t="s">
        <v>435</v>
      </c>
      <c r="C955" s="99" t="s">
        <v>325</v>
      </c>
      <c r="D955" s="100" t="s">
        <v>58</v>
      </c>
      <c r="E955" s="101">
        <f>+(1.65+0.9)*3.185</f>
        <v>8.12175</v>
      </c>
      <c r="F955" s="101"/>
      <c r="G955" s="101"/>
      <c r="H955" s="101"/>
      <c r="I955" s="27">
        <f t="shared" ref="I955:I960" si="209">(F955+G955+H955)*$I$3</f>
        <v>0</v>
      </c>
      <c r="J955" s="28">
        <f t="shared" ref="J955:J960" si="210">ROUND(SUM(F955:I955),2)</f>
        <v>0</v>
      </c>
      <c r="K955" s="29">
        <f t="shared" ref="K955:K960" si="211">ROUND(J955*E955,2)</f>
        <v>0</v>
      </c>
      <c r="L955" s="96"/>
    </row>
    <row r="956" s="86" customFormat="1" ht="36" outlineLevel="2" spans="1:12">
      <c r="A956" s="103">
        <f t="shared" si="208"/>
        <v>2</v>
      </c>
      <c r="B956" s="98" t="s">
        <v>436</v>
      </c>
      <c r="C956" s="99" t="s">
        <v>437</v>
      </c>
      <c r="D956" s="100" t="s">
        <v>58</v>
      </c>
      <c r="E956" s="101">
        <f>+(5+5.62)*3.185</f>
        <v>33.8247</v>
      </c>
      <c r="F956" s="101"/>
      <c r="G956" s="101"/>
      <c r="H956" s="101"/>
      <c r="I956" s="27">
        <f t="shared" si="209"/>
        <v>0</v>
      </c>
      <c r="J956" s="28">
        <f t="shared" si="210"/>
        <v>0</v>
      </c>
      <c r="K956" s="29">
        <f t="shared" si="211"/>
        <v>0</v>
      </c>
      <c r="L956" s="96"/>
    </row>
    <row r="957" s="86" customFormat="1" ht="48" outlineLevel="2" spans="1:12">
      <c r="A957" s="103">
        <f t="shared" si="208"/>
        <v>3</v>
      </c>
      <c r="B957" s="98" t="s">
        <v>132</v>
      </c>
      <c r="C957" s="99" t="s">
        <v>133</v>
      </c>
      <c r="D957" s="100" t="s">
        <v>58</v>
      </c>
      <c r="E957" s="101">
        <f>0.8*3.2*4</f>
        <v>10.24</v>
      </c>
      <c r="F957" s="101"/>
      <c r="G957" s="101"/>
      <c r="H957" s="101"/>
      <c r="I957" s="27">
        <f t="shared" si="209"/>
        <v>0</v>
      </c>
      <c r="J957" s="28">
        <f t="shared" si="210"/>
        <v>0</v>
      </c>
      <c r="K957" s="29">
        <f t="shared" si="211"/>
        <v>0</v>
      </c>
      <c r="L957" s="96"/>
    </row>
    <row r="958" s="86" customFormat="1" ht="60" outlineLevel="2" spans="1:12">
      <c r="A958" s="103">
        <f t="shared" si="208"/>
        <v>4</v>
      </c>
      <c r="B958" s="98" t="s">
        <v>446</v>
      </c>
      <c r="C958" s="99" t="s">
        <v>447</v>
      </c>
      <c r="D958" s="100" t="s">
        <v>58</v>
      </c>
      <c r="E958" s="101">
        <f>1.76*3.2</f>
        <v>5.632</v>
      </c>
      <c r="F958" s="101"/>
      <c r="G958" s="101"/>
      <c r="H958" s="101"/>
      <c r="I958" s="27">
        <f t="shared" si="209"/>
        <v>0</v>
      </c>
      <c r="J958" s="28">
        <f t="shared" si="210"/>
        <v>0</v>
      </c>
      <c r="K958" s="29">
        <f t="shared" si="211"/>
        <v>0</v>
      </c>
      <c r="L958" s="96"/>
    </row>
    <row r="959" s="86" customFormat="1" ht="48" outlineLevel="2" spans="1:12">
      <c r="A959" s="103">
        <f t="shared" si="208"/>
        <v>5</v>
      </c>
      <c r="B959" s="98" t="s">
        <v>448</v>
      </c>
      <c r="C959" s="99" t="s">
        <v>449</v>
      </c>
      <c r="D959" s="100" t="s">
        <v>58</v>
      </c>
      <c r="E959" s="101">
        <f>0.9*3.2</f>
        <v>2.88</v>
      </c>
      <c r="F959" s="101"/>
      <c r="G959" s="101"/>
      <c r="H959" s="101"/>
      <c r="I959" s="27">
        <f t="shared" si="209"/>
        <v>0</v>
      </c>
      <c r="J959" s="28">
        <f t="shared" si="210"/>
        <v>0</v>
      </c>
      <c r="K959" s="29">
        <f t="shared" si="211"/>
        <v>0</v>
      </c>
      <c r="L959" s="96"/>
    </row>
    <row r="960" s="86" customFormat="1" ht="48" outlineLevel="2" spans="1:12">
      <c r="A960" s="103">
        <f t="shared" si="208"/>
        <v>6</v>
      </c>
      <c r="B960" s="98" t="s">
        <v>450</v>
      </c>
      <c r="C960" s="99" t="s">
        <v>451</v>
      </c>
      <c r="D960" s="100" t="s">
        <v>58</v>
      </c>
      <c r="E960" s="101">
        <f>1.4*3.2</f>
        <v>4.48</v>
      </c>
      <c r="F960" s="101"/>
      <c r="G960" s="101"/>
      <c r="H960" s="101"/>
      <c r="I960" s="27">
        <f t="shared" si="209"/>
        <v>0</v>
      </c>
      <c r="J960" s="28">
        <f t="shared" si="210"/>
        <v>0</v>
      </c>
      <c r="K960" s="29">
        <f t="shared" si="211"/>
        <v>0</v>
      </c>
      <c r="L960" s="96"/>
    </row>
    <row r="961" s="86" customFormat="1" ht="24" customHeight="1" outlineLevel="1" spans="1:12">
      <c r="A961" s="92" t="s">
        <v>122</v>
      </c>
      <c r="B961" s="118" t="s">
        <v>452</v>
      </c>
      <c r="C961" s="119"/>
      <c r="D961" s="94"/>
      <c r="E961" s="95"/>
      <c r="F961" s="95"/>
      <c r="G961" s="95"/>
      <c r="H961" s="95"/>
      <c r="I961" s="95"/>
      <c r="J961" s="95"/>
      <c r="K961" s="23"/>
      <c r="L961" s="96"/>
    </row>
    <row r="962" s="86" customFormat="1" ht="24" customHeight="1" outlineLevel="1" spans="1:12">
      <c r="A962" s="97"/>
      <c r="B962" s="98" t="s">
        <v>55</v>
      </c>
      <c r="C962" s="99"/>
      <c r="D962" s="100"/>
      <c r="E962" s="101"/>
      <c r="F962" s="101"/>
      <c r="G962" s="101"/>
      <c r="H962" s="101"/>
      <c r="I962" s="101"/>
      <c r="J962" s="101"/>
      <c r="K962" s="102"/>
      <c r="L962" s="96"/>
    </row>
    <row r="963" s="86" customFormat="1" ht="96" outlineLevel="2" spans="1:12">
      <c r="A963" s="103">
        <f t="shared" ref="A963:A968" si="212">1+N(A962)</f>
        <v>1</v>
      </c>
      <c r="B963" s="98" t="s">
        <v>56</v>
      </c>
      <c r="C963" s="99" t="s">
        <v>57</v>
      </c>
      <c r="D963" s="100" t="s">
        <v>58</v>
      </c>
      <c r="E963" s="101">
        <v>1.557</v>
      </c>
      <c r="F963" s="101"/>
      <c r="G963" s="101"/>
      <c r="H963" s="27"/>
      <c r="I963" s="27">
        <f t="shared" ref="I963:I968" si="213">(F963+G963+H963)*$I$3</f>
        <v>0</v>
      </c>
      <c r="J963" s="28">
        <f t="shared" ref="J963:J968" si="214">ROUND(SUM(F963:I963),2)</f>
        <v>0</v>
      </c>
      <c r="K963" s="29">
        <f t="shared" ref="K963:K968" si="215">ROUND(J963*E963,2)</f>
        <v>0</v>
      </c>
      <c r="L963" s="96"/>
    </row>
    <row r="964" s="86" customFormat="1" ht="48" outlineLevel="2" spans="1:12">
      <c r="A964" s="103">
        <f t="shared" si="212"/>
        <v>2</v>
      </c>
      <c r="B964" s="98" t="s">
        <v>66</v>
      </c>
      <c r="C964" s="99" t="s">
        <v>67</v>
      </c>
      <c r="D964" s="100" t="s">
        <v>58</v>
      </c>
      <c r="E964" s="101">
        <v>1.557</v>
      </c>
      <c r="F964" s="101"/>
      <c r="G964" s="101"/>
      <c r="H964" s="101"/>
      <c r="I964" s="27">
        <f t="shared" si="213"/>
        <v>0</v>
      </c>
      <c r="J964" s="28">
        <f t="shared" si="214"/>
        <v>0</v>
      </c>
      <c r="K964" s="29">
        <f t="shared" si="215"/>
        <v>0</v>
      </c>
      <c r="L964" s="96"/>
    </row>
    <row r="965" s="86" customFormat="1" ht="24" customHeight="1" outlineLevel="1" spans="1:12">
      <c r="A965" s="97"/>
      <c r="B965" s="98" t="s">
        <v>68</v>
      </c>
      <c r="C965" s="99"/>
      <c r="D965" s="100"/>
      <c r="E965" s="101"/>
      <c r="F965" s="101"/>
      <c r="G965" s="101"/>
      <c r="H965" s="101"/>
      <c r="I965" s="101"/>
      <c r="J965" s="101"/>
      <c r="K965" s="102"/>
      <c r="L965" s="96"/>
    </row>
    <row r="966" s="86" customFormat="1" ht="72" outlineLevel="2" spans="1:12">
      <c r="A966" s="103">
        <f t="shared" si="212"/>
        <v>1</v>
      </c>
      <c r="B966" s="105" t="s">
        <v>75</v>
      </c>
      <c r="C966" s="106" t="s">
        <v>76</v>
      </c>
      <c r="D966" s="100" t="s">
        <v>58</v>
      </c>
      <c r="E966" s="101">
        <v>13.572</v>
      </c>
      <c r="F966" s="101"/>
      <c r="G966" s="101"/>
      <c r="H966" s="101"/>
      <c r="I966" s="27">
        <f t="shared" si="213"/>
        <v>0</v>
      </c>
      <c r="J966" s="28">
        <f t="shared" si="214"/>
        <v>0</v>
      </c>
      <c r="K966" s="29">
        <f t="shared" si="215"/>
        <v>0</v>
      </c>
      <c r="L966" s="96"/>
    </row>
    <row r="967" s="86" customFormat="1" ht="72" outlineLevel="2" spans="1:12">
      <c r="A967" s="103">
        <f t="shared" si="212"/>
        <v>2</v>
      </c>
      <c r="B967" s="105" t="s">
        <v>453</v>
      </c>
      <c r="C967" s="106" t="s">
        <v>454</v>
      </c>
      <c r="D967" s="105" t="s">
        <v>58</v>
      </c>
      <c r="E967" s="101">
        <v>0.307</v>
      </c>
      <c r="F967" s="101"/>
      <c r="G967" s="101"/>
      <c r="H967" s="101"/>
      <c r="I967" s="27">
        <f t="shared" si="213"/>
        <v>0</v>
      </c>
      <c r="J967" s="28">
        <f t="shared" si="214"/>
        <v>0</v>
      </c>
      <c r="K967" s="29">
        <f t="shared" si="215"/>
        <v>0</v>
      </c>
      <c r="L967" s="96"/>
    </row>
    <row r="968" s="86" customFormat="1" ht="60" customHeight="1" outlineLevel="2" spans="1:12">
      <c r="A968" s="103">
        <f t="shared" si="212"/>
        <v>3</v>
      </c>
      <c r="B968" s="98" t="s">
        <v>77</v>
      </c>
      <c r="C968" s="99" t="s">
        <v>78</v>
      </c>
      <c r="D968" s="100" t="s">
        <v>58</v>
      </c>
      <c r="E968" s="101">
        <f>+(0.254+0.111)*2*2.4+(0.254+0.111)*0.84</f>
        <v>2.0586</v>
      </c>
      <c r="F968" s="101"/>
      <c r="G968" s="101"/>
      <c r="H968" s="101"/>
      <c r="I968" s="27">
        <f t="shared" si="213"/>
        <v>0</v>
      </c>
      <c r="J968" s="28">
        <f t="shared" si="214"/>
        <v>0</v>
      </c>
      <c r="K968" s="29">
        <f t="shared" si="215"/>
        <v>0</v>
      </c>
      <c r="L968" s="96"/>
    </row>
    <row r="969" s="86" customFormat="1" ht="24" customHeight="1" outlineLevel="1" spans="1:12">
      <c r="A969" s="97"/>
      <c r="B969" s="98" t="s">
        <v>96</v>
      </c>
      <c r="C969" s="99"/>
      <c r="D969" s="100"/>
      <c r="E969" s="101"/>
      <c r="F969" s="101"/>
      <c r="G969" s="101"/>
      <c r="H969" s="101"/>
      <c r="I969" s="101"/>
      <c r="J969" s="101"/>
      <c r="K969" s="102"/>
      <c r="L969" s="96"/>
    </row>
    <row r="970" s="86" customFormat="1" ht="84" outlineLevel="2" spans="1:12">
      <c r="A970" s="103">
        <f t="shared" ref="A970:A973" si="216">1+N(A969)</f>
        <v>1</v>
      </c>
      <c r="B970" s="98" t="s">
        <v>455</v>
      </c>
      <c r="C970" s="108" t="s">
        <v>456</v>
      </c>
      <c r="D970" s="100" t="s">
        <v>58</v>
      </c>
      <c r="E970" s="101">
        <v>1.395</v>
      </c>
      <c r="F970" s="101"/>
      <c r="G970" s="101"/>
      <c r="H970" s="101"/>
      <c r="I970" s="27">
        <f t="shared" ref="I970:I973" si="217">(F970+G970+H970)*$I$3</f>
        <v>0</v>
      </c>
      <c r="J970" s="28">
        <f t="shared" ref="J970:J973" si="218">ROUND(SUM(F970:I970),2)</f>
        <v>0</v>
      </c>
      <c r="K970" s="29">
        <f t="shared" ref="K970:K973" si="219">ROUND(J970*E970,2)</f>
        <v>0</v>
      </c>
      <c r="L970" s="96"/>
    </row>
    <row r="971" s="86" customFormat="1" ht="72" customHeight="1" outlineLevel="2" spans="1:12">
      <c r="A971" s="103">
        <f t="shared" si="216"/>
        <v>2</v>
      </c>
      <c r="B971" s="98" t="s">
        <v>105</v>
      </c>
      <c r="C971" s="99" t="s">
        <v>106</v>
      </c>
      <c r="D971" s="100" t="s">
        <v>58</v>
      </c>
      <c r="E971" s="101">
        <v>1.395</v>
      </c>
      <c r="F971" s="101"/>
      <c r="G971" s="101"/>
      <c r="H971" s="101"/>
      <c r="I971" s="27">
        <f t="shared" si="217"/>
        <v>0</v>
      </c>
      <c r="J971" s="28">
        <f t="shared" si="218"/>
        <v>0</v>
      </c>
      <c r="K971" s="29">
        <f t="shared" si="219"/>
        <v>0</v>
      </c>
      <c r="L971" s="96"/>
    </row>
    <row r="972" s="86" customFormat="1" ht="24" customHeight="1" outlineLevel="1" spans="1:12">
      <c r="A972" s="97"/>
      <c r="B972" s="98" t="s">
        <v>107</v>
      </c>
      <c r="C972" s="99"/>
      <c r="D972" s="100"/>
      <c r="E972" s="101"/>
      <c r="F972" s="101"/>
      <c r="G972" s="101"/>
      <c r="H972" s="101"/>
      <c r="I972" s="101"/>
      <c r="J972" s="101"/>
      <c r="K972" s="102"/>
      <c r="L972" s="96"/>
    </row>
    <row r="973" s="86" customFormat="1" ht="48" outlineLevel="2" spans="1:12">
      <c r="A973" s="103">
        <f t="shared" si="216"/>
        <v>1</v>
      </c>
      <c r="B973" s="98" t="s">
        <v>438</v>
      </c>
      <c r="C973" s="99" t="s">
        <v>457</v>
      </c>
      <c r="D973" s="100" t="s">
        <v>58</v>
      </c>
      <c r="E973" s="101">
        <f>0.84*2.4</f>
        <v>2.016</v>
      </c>
      <c r="F973" s="101"/>
      <c r="G973" s="101"/>
      <c r="H973" s="101"/>
      <c r="I973" s="27">
        <f t="shared" si="217"/>
        <v>0</v>
      </c>
      <c r="J973" s="28">
        <f t="shared" si="218"/>
        <v>0</v>
      </c>
      <c r="K973" s="29">
        <f t="shared" si="219"/>
        <v>0</v>
      </c>
      <c r="L973" s="96"/>
    </row>
    <row r="974" s="86" customFormat="1" ht="24" customHeight="1" outlineLevel="1" spans="1:12">
      <c r="A974" s="92" t="s">
        <v>134</v>
      </c>
      <c r="B974" s="118" t="s">
        <v>458</v>
      </c>
      <c r="C974" s="119"/>
      <c r="D974" s="94"/>
      <c r="E974" s="95"/>
      <c r="F974" s="95"/>
      <c r="G974" s="95"/>
      <c r="H974" s="95"/>
      <c r="I974" s="95"/>
      <c r="J974" s="95"/>
      <c r="K974" s="23"/>
      <c r="L974" s="96"/>
    </row>
    <row r="975" s="86" customFormat="1" ht="24" customHeight="1" outlineLevel="1" spans="1:12">
      <c r="A975" s="97"/>
      <c r="B975" s="98" t="s">
        <v>55</v>
      </c>
      <c r="C975" s="99"/>
      <c r="D975" s="100"/>
      <c r="E975" s="101"/>
      <c r="F975" s="101"/>
      <c r="G975" s="101"/>
      <c r="H975" s="101"/>
      <c r="I975" s="101"/>
      <c r="J975" s="101"/>
      <c r="K975" s="102"/>
      <c r="L975" s="96"/>
    </row>
    <row r="976" s="86" customFormat="1" ht="96" outlineLevel="2" spans="1:12">
      <c r="A976" s="103">
        <f t="shared" ref="A976:A984" si="220">1+N(A975)</f>
        <v>1</v>
      </c>
      <c r="B976" s="98" t="s">
        <v>56</v>
      </c>
      <c r="C976" s="99" t="s">
        <v>57</v>
      </c>
      <c r="D976" s="100" t="s">
        <v>58</v>
      </c>
      <c r="E976" s="101">
        <v>28.515</v>
      </c>
      <c r="F976" s="101"/>
      <c r="G976" s="101"/>
      <c r="H976" s="27"/>
      <c r="I976" s="27">
        <f t="shared" ref="I976:I984" si="221">(F976+G976+H976)*$I$3</f>
        <v>0</v>
      </c>
      <c r="J976" s="28">
        <f t="shared" ref="J976:J984" si="222">ROUND(SUM(F976:I976),2)</f>
        <v>0</v>
      </c>
      <c r="K976" s="29">
        <f t="shared" ref="K976:K984" si="223">ROUND(J976*E976,2)</f>
        <v>0</v>
      </c>
      <c r="L976" s="96"/>
    </row>
    <row r="977" s="86" customFormat="1" ht="48" outlineLevel="2" spans="1:12">
      <c r="A977" s="103">
        <f t="shared" si="220"/>
        <v>2</v>
      </c>
      <c r="B977" s="98" t="s">
        <v>66</v>
      </c>
      <c r="C977" s="99" t="s">
        <v>67</v>
      </c>
      <c r="D977" s="100" t="s">
        <v>58</v>
      </c>
      <c r="E977" s="101">
        <v>28.515</v>
      </c>
      <c r="F977" s="101"/>
      <c r="G977" s="101"/>
      <c r="H977" s="101"/>
      <c r="I977" s="27">
        <f t="shared" si="221"/>
        <v>0</v>
      </c>
      <c r="J977" s="28">
        <f t="shared" si="222"/>
        <v>0</v>
      </c>
      <c r="K977" s="29">
        <f t="shared" si="223"/>
        <v>0</v>
      </c>
      <c r="L977" s="96"/>
    </row>
    <row r="978" s="86" customFormat="1" ht="24" customHeight="1" outlineLevel="1" spans="1:12">
      <c r="A978" s="97"/>
      <c r="B978" s="98" t="s">
        <v>68</v>
      </c>
      <c r="C978" s="99"/>
      <c r="D978" s="100"/>
      <c r="E978" s="101"/>
      <c r="F978" s="101"/>
      <c r="G978" s="101"/>
      <c r="H978" s="101"/>
      <c r="I978" s="101"/>
      <c r="J978" s="101"/>
      <c r="K978" s="102"/>
      <c r="L978" s="96"/>
    </row>
    <row r="979" s="86" customFormat="1" ht="72" outlineLevel="2" spans="1:12">
      <c r="A979" s="103">
        <f t="shared" si="220"/>
        <v>1</v>
      </c>
      <c r="B979" s="98" t="s">
        <v>459</v>
      </c>
      <c r="C979" s="99" t="s">
        <v>460</v>
      </c>
      <c r="D979" s="100" t="s">
        <v>58</v>
      </c>
      <c r="E979" s="101">
        <v>84.597</v>
      </c>
      <c r="F979" s="101"/>
      <c r="G979" s="101"/>
      <c r="H979" s="101"/>
      <c r="I979" s="27">
        <f t="shared" si="221"/>
        <v>0</v>
      </c>
      <c r="J979" s="28">
        <f t="shared" si="222"/>
        <v>0</v>
      </c>
      <c r="K979" s="29">
        <f t="shared" si="223"/>
        <v>0</v>
      </c>
      <c r="L979" s="96"/>
    </row>
    <row r="980" s="86" customFormat="1" ht="36" outlineLevel="2" spans="1:12">
      <c r="A980" s="103">
        <f t="shared" si="220"/>
        <v>2</v>
      </c>
      <c r="B980" s="98" t="s">
        <v>461</v>
      </c>
      <c r="C980" s="99" t="s">
        <v>462</v>
      </c>
      <c r="D980" s="100" t="s">
        <v>58</v>
      </c>
      <c r="E980" s="101">
        <v>36</v>
      </c>
      <c r="F980" s="101"/>
      <c r="G980" s="101"/>
      <c r="H980" s="101"/>
      <c r="I980" s="27">
        <f t="shared" si="221"/>
        <v>0</v>
      </c>
      <c r="J980" s="28">
        <f t="shared" si="222"/>
        <v>0</v>
      </c>
      <c r="K980" s="29">
        <f t="shared" si="223"/>
        <v>0</v>
      </c>
      <c r="L980" s="96"/>
    </row>
    <row r="981" s="86" customFormat="1" ht="24" outlineLevel="2" spans="1:12">
      <c r="A981" s="103">
        <f t="shared" si="220"/>
        <v>3</v>
      </c>
      <c r="B981" s="98" t="s">
        <v>188</v>
      </c>
      <c r="C981" s="99" t="s">
        <v>189</v>
      </c>
      <c r="D981" s="100" t="s">
        <v>58</v>
      </c>
      <c r="E981" s="101">
        <f>+(27.09+25.27)*3</f>
        <v>157.08</v>
      </c>
      <c r="F981" s="101"/>
      <c r="G981" s="101"/>
      <c r="H981" s="101"/>
      <c r="I981" s="27">
        <f t="shared" si="221"/>
        <v>0</v>
      </c>
      <c r="J981" s="28">
        <f t="shared" si="222"/>
        <v>0</v>
      </c>
      <c r="K981" s="29">
        <f t="shared" si="223"/>
        <v>0</v>
      </c>
      <c r="L981" s="96"/>
    </row>
    <row r="982" s="86" customFormat="1" ht="48" outlineLevel="2" spans="1:12">
      <c r="A982" s="103">
        <f t="shared" si="220"/>
        <v>4</v>
      </c>
      <c r="B982" s="98" t="s">
        <v>86</v>
      </c>
      <c r="C982" s="99" t="s">
        <v>87</v>
      </c>
      <c r="D982" s="100" t="s">
        <v>65</v>
      </c>
      <c r="E982" s="101">
        <v>13.384</v>
      </c>
      <c r="F982" s="101"/>
      <c r="G982" s="101"/>
      <c r="H982" s="101"/>
      <c r="I982" s="27">
        <f t="shared" si="221"/>
        <v>0</v>
      </c>
      <c r="J982" s="28">
        <f t="shared" si="222"/>
        <v>0</v>
      </c>
      <c r="K982" s="29">
        <f t="shared" si="223"/>
        <v>0</v>
      </c>
      <c r="L982" s="96"/>
    </row>
    <row r="983" s="86" customFormat="1" ht="48" outlineLevel="2" spans="1:12">
      <c r="A983" s="103">
        <f t="shared" si="220"/>
        <v>5</v>
      </c>
      <c r="B983" s="98" t="s">
        <v>94</v>
      </c>
      <c r="C983" s="99" t="s">
        <v>95</v>
      </c>
      <c r="D983" s="100" t="s">
        <v>65</v>
      </c>
      <c r="E983" s="101">
        <v>19.752</v>
      </c>
      <c r="F983" s="101"/>
      <c r="G983" s="101"/>
      <c r="H983" s="101"/>
      <c r="I983" s="27">
        <f t="shared" si="221"/>
        <v>0</v>
      </c>
      <c r="J983" s="28">
        <f t="shared" si="222"/>
        <v>0</v>
      </c>
      <c r="K983" s="29">
        <f t="shared" si="223"/>
        <v>0</v>
      </c>
      <c r="L983" s="96"/>
    </row>
    <row r="984" s="86" customFormat="1" ht="48" outlineLevel="2" spans="1:12">
      <c r="A984" s="103">
        <f t="shared" si="220"/>
        <v>6</v>
      </c>
      <c r="B984" s="98" t="s">
        <v>77</v>
      </c>
      <c r="C984" s="99" t="s">
        <v>78</v>
      </c>
      <c r="D984" s="100" t="s">
        <v>58</v>
      </c>
      <c r="E984" s="101">
        <f>0.202*3*2*6</f>
        <v>7.272</v>
      </c>
      <c r="F984" s="101"/>
      <c r="G984" s="101"/>
      <c r="H984" s="101"/>
      <c r="I984" s="27">
        <f t="shared" si="221"/>
        <v>0</v>
      </c>
      <c r="J984" s="28">
        <f t="shared" si="222"/>
        <v>0</v>
      </c>
      <c r="K984" s="29">
        <f t="shared" si="223"/>
        <v>0</v>
      </c>
      <c r="L984" s="96"/>
    </row>
    <row r="985" s="86" customFormat="1" ht="24" customHeight="1" outlineLevel="1" spans="1:12">
      <c r="A985" s="97"/>
      <c r="B985" s="98" t="s">
        <v>96</v>
      </c>
      <c r="C985" s="99"/>
      <c r="D985" s="100"/>
      <c r="E985" s="101"/>
      <c r="F985" s="101"/>
      <c r="G985" s="101"/>
      <c r="H985" s="101"/>
      <c r="I985" s="101"/>
      <c r="J985" s="101"/>
      <c r="K985" s="102"/>
      <c r="L985" s="96"/>
    </row>
    <row r="986" s="86" customFormat="1" ht="96" outlineLevel="2" spans="1:12">
      <c r="A986" s="103">
        <f t="shared" ref="A986:A989" si="224">1+N(A985)</f>
        <v>1</v>
      </c>
      <c r="B986" s="98" t="s">
        <v>97</v>
      </c>
      <c r="C986" s="108" t="s">
        <v>98</v>
      </c>
      <c r="D986" s="100" t="s">
        <v>58</v>
      </c>
      <c r="E986" s="101">
        <v>29.531</v>
      </c>
      <c r="F986" s="101"/>
      <c r="G986" s="101"/>
      <c r="H986" s="101"/>
      <c r="I986" s="27">
        <f t="shared" ref="I986:I989" si="225">(F986+G986+H986)*$I$3</f>
        <v>0</v>
      </c>
      <c r="J986" s="28">
        <f t="shared" ref="J986:J989" si="226">ROUND(SUM(F986:I986),2)</f>
        <v>0</v>
      </c>
      <c r="K986" s="29">
        <f t="shared" ref="K986:K989" si="227">ROUND(J986*E986,2)</f>
        <v>0</v>
      </c>
      <c r="L986" s="96"/>
    </row>
    <row r="987" s="86" customFormat="1" ht="72" customHeight="1" outlineLevel="2" spans="1:12">
      <c r="A987" s="103">
        <f t="shared" si="224"/>
        <v>2</v>
      </c>
      <c r="B987" s="98" t="s">
        <v>99</v>
      </c>
      <c r="C987" s="99" t="s">
        <v>100</v>
      </c>
      <c r="D987" s="100" t="s">
        <v>65</v>
      </c>
      <c r="E987" s="101">
        <v>15.08</v>
      </c>
      <c r="F987" s="101"/>
      <c r="G987" s="101"/>
      <c r="H987" s="101"/>
      <c r="I987" s="27">
        <f t="shared" si="225"/>
        <v>0</v>
      </c>
      <c r="J987" s="28">
        <f t="shared" si="226"/>
        <v>0</v>
      </c>
      <c r="K987" s="29">
        <f t="shared" si="227"/>
        <v>0</v>
      </c>
      <c r="L987" s="96"/>
    </row>
    <row r="988" s="86" customFormat="1" ht="72" customHeight="1" outlineLevel="2" spans="1:12">
      <c r="A988" s="103">
        <f t="shared" si="224"/>
        <v>3</v>
      </c>
      <c r="B988" s="98" t="s">
        <v>287</v>
      </c>
      <c r="C988" s="99" t="s">
        <v>288</v>
      </c>
      <c r="D988" s="100" t="s">
        <v>65</v>
      </c>
      <c r="E988" s="101">
        <f>(0.75*2+0.9*2+1.8*2+1.5+0.8*2)*2</f>
        <v>20</v>
      </c>
      <c r="F988" s="101"/>
      <c r="G988" s="101"/>
      <c r="H988" s="101"/>
      <c r="I988" s="27">
        <f t="shared" si="225"/>
        <v>0</v>
      </c>
      <c r="J988" s="28">
        <f t="shared" si="226"/>
        <v>0</v>
      </c>
      <c r="K988" s="29">
        <f t="shared" si="227"/>
        <v>0</v>
      </c>
      <c r="L988" s="96"/>
    </row>
    <row r="989" s="86" customFormat="1" ht="60" customHeight="1" outlineLevel="2" spans="1:12">
      <c r="A989" s="103">
        <f t="shared" si="224"/>
        <v>4</v>
      </c>
      <c r="B989" s="98" t="s">
        <v>140</v>
      </c>
      <c r="C989" s="99" t="s">
        <v>141</v>
      </c>
      <c r="D989" s="100" t="s">
        <v>58</v>
      </c>
      <c r="E989" s="101">
        <v>34.96</v>
      </c>
      <c r="F989" s="101"/>
      <c r="G989" s="101"/>
      <c r="H989" s="101"/>
      <c r="I989" s="27">
        <f t="shared" si="225"/>
        <v>0</v>
      </c>
      <c r="J989" s="28">
        <f t="shared" si="226"/>
        <v>0</v>
      </c>
      <c r="K989" s="29">
        <f t="shared" si="227"/>
        <v>0</v>
      </c>
      <c r="L989" s="96"/>
    </row>
    <row r="990" s="86" customFormat="1" ht="24" customHeight="1" outlineLevel="1" spans="1:12">
      <c r="A990" s="97"/>
      <c r="B990" s="98" t="s">
        <v>289</v>
      </c>
      <c r="C990" s="99"/>
      <c r="D990" s="100"/>
      <c r="E990" s="101"/>
      <c r="F990" s="101"/>
      <c r="G990" s="101"/>
      <c r="H990" s="101"/>
      <c r="I990" s="101"/>
      <c r="J990" s="101"/>
      <c r="K990" s="102"/>
      <c r="L990" s="96"/>
    </row>
    <row r="991" s="86" customFormat="1" ht="60" outlineLevel="2" spans="1:12">
      <c r="A991" s="103">
        <f t="shared" ref="A991:A995" si="228">1+N(A990)</f>
        <v>1</v>
      </c>
      <c r="B991" s="98" t="s">
        <v>463</v>
      </c>
      <c r="C991" s="99" t="s">
        <v>464</v>
      </c>
      <c r="D991" s="100" t="s">
        <v>58</v>
      </c>
      <c r="E991" s="101">
        <f>0.85*3*2</f>
        <v>5.1</v>
      </c>
      <c r="F991" s="101"/>
      <c r="G991" s="101"/>
      <c r="H991" s="101"/>
      <c r="I991" s="27">
        <f t="shared" ref="I991:I995" si="229">(F991+G991+H991)*$I$3</f>
        <v>0</v>
      </c>
      <c r="J991" s="28">
        <f t="shared" ref="J991:J995" si="230">ROUND(SUM(F991:I991),2)</f>
        <v>0</v>
      </c>
      <c r="K991" s="29">
        <f t="shared" ref="K991:K995" si="231">ROUND(J991*E991,2)</f>
        <v>0</v>
      </c>
      <c r="L991" s="96"/>
    </row>
    <row r="992" s="86" customFormat="1" ht="48" outlineLevel="2" spans="1:12">
      <c r="A992" s="103">
        <f t="shared" si="228"/>
        <v>2</v>
      </c>
      <c r="B992" s="98" t="s">
        <v>465</v>
      </c>
      <c r="C992" s="99" t="s">
        <v>466</v>
      </c>
      <c r="D992" s="100" t="s">
        <v>58</v>
      </c>
      <c r="E992" s="101">
        <f>0.8*3*6</f>
        <v>14.4</v>
      </c>
      <c r="F992" s="101"/>
      <c r="G992" s="101"/>
      <c r="H992" s="101"/>
      <c r="I992" s="27">
        <f t="shared" si="229"/>
        <v>0</v>
      </c>
      <c r="J992" s="28">
        <f t="shared" si="230"/>
        <v>0</v>
      </c>
      <c r="K992" s="29">
        <f t="shared" si="231"/>
        <v>0</v>
      </c>
      <c r="L992" s="96"/>
    </row>
    <row r="993" s="86" customFormat="1" ht="72" outlineLevel="2" spans="1:12">
      <c r="A993" s="103">
        <f t="shared" si="228"/>
        <v>3</v>
      </c>
      <c r="B993" s="98" t="s">
        <v>467</v>
      </c>
      <c r="C993" s="99" t="s">
        <v>468</v>
      </c>
      <c r="D993" s="100" t="s">
        <v>151</v>
      </c>
      <c r="E993" s="101">
        <v>1</v>
      </c>
      <c r="F993" s="101"/>
      <c r="G993" s="101"/>
      <c r="H993" s="101"/>
      <c r="I993" s="27">
        <f t="shared" si="229"/>
        <v>0</v>
      </c>
      <c r="J993" s="28">
        <f t="shared" si="230"/>
        <v>0</v>
      </c>
      <c r="K993" s="29">
        <f t="shared" si="231"/>
        <v>0</v>
      </c>
      <c r="L993" s="96"/>
    </row>
    <row r="994" s="86" customFormat="1" ht="72" outlineLevel="2" spans="1:12">
      <c r="A994" s="103">
        <f t="shared" si="228"/>
        <v>4</v>
      </c>
      <c r="B994" s="98" t="s">
        <v>469</v>
      </c>
      <c r="C994" s="99" t="s">
        <v>470</v>
      </c>
      <c r="D994" s="100" t="s">
        <v>151</v>
      </c>
      <c r="E994" s="101">
        <v>1</v>
      </c>
      <c r="F994" s="101"/>
      <c r="G994" s="101"/>
      <c r="H994" s="101"/>
      <c r="I994" s="27">
        <f t="shared" si="229"/>
        <v>0</v>
      </c>
      <c r="J994" s="28">
        <f t="shared" si="230"/>
        <v>0</v>
      </c>
      <c r="K994" s="29">
        <f t="shared" si="231"/>
        <v>0</v>
      </c>
      <c r="L994" s="96"/>
    </row>
    <row r="995" s="86" customFormat="1" ht="48" outlineLevel="2" spans="1:12">
      <c r="A995" s="103">
        <f t="shared" si="228"/>
        <v>5</v>
      </c>
      <c r="B995" s="98" t="s">
        <v>471</v>
      </c>
      <c r="C995" s="99" t="s">
        <v>472</v>
      </c>
      <c r="D995" s="100" t="s">
        <v>58</v>
      </c>
      <c r="E995" s="101">
        <f>2.05*3.2*2</f>
        <v>13.12</v>
      </c>
      <c r="F995" s="101"/>
      <c r="G995" s="101"/>
      <c r="H995" s="101"/>
      <c r="I995" s="27">
        <f t="shared" si="229"/>
        <v>0</v>
      </c>
      <c r="J995" s="28">
        <f t="shared" si="230"/>
        <v>0</v>
      </c>
      <c r="K995" s="29">
        <f t="shared" si="231"/>
        <v>0</v>
      </c>
      <c r="L995" s="96"/>
    </row>
    <row r="996" s="86" customFormat="1" ht="24" customHeight="1" outlineLevel="1" spans="1:12">
      <c r="A996" s="92" t="s">
        <v>137</v>
      </c>
      <c r="B996" s="118" t="s">
        <v>473</v>
      </c>
      <c r="C996" s="119"/>
      <c r="D996" s="94"/>
      <c r="E996" s="95"/>
      <c r="F996" s="95"/>
      <c r="G996" s="95"/>
      <c r="H996" s="95"/>
      <c r="I996" s="95"/>
      <c r="J996" s="95"/>
      <c r="K996" s="23"/>
      <c r="L996" s="96"/>
    </row>
    <row r="997" s="86" customFormat="1" ht="24" customHeight="1" outlineLevel="1" spans="1:12">
      <c r="A997" s="97"/>
      <c r="B997" s="98" t="s">
        <v>55</v>
      </c>
      <c r="C997" s="99"/>
      <c r="D997" s="100"/>
      <c r="E997" s="101"/>
      <c r="F997" s="101"/>
      <c r="G997" s="101"/>
      <c r="H997" s="101"/>
      <c r="I997" s="101"/>
      <c r="J997" s="101"/>
      <c r="K997" s="102"/>
      <c r="L997" s="96"/>
    </row>
    <row r="998" s="86" customFormat="1" ht="108" outlineLevel="2" spans="1:12">
      <c r="A998" s="103">
        <f t="shared" ref="A998:A1000" si="232">1+N(A997)</f>
        <v>1</v>
      </c>
      <c r="B998" s="98" t="s">
        <v>56</v>
      </c>
      <c r="C998" s="99" t="s">
        <v>248</v>
      </c>
      <c r="D998" s="100" t="s">
        <v>58</v>
      </c>
      <c r="E998" s="101">
        <v>84.675</v>
      </c>
      <c r="F998" s="101"/>
      <c r="G998" s="101"/>
      <c r="H998" s="27"/>
      <c r="I998" s="27">
        <f t="shared" ref="I998:I1000" si="233">(F998+G998+H998)*$I$3</f>
        <v>0</v>
      </c>
      <c r="J998" s="28">
        <f t="shared" ref="J998:J1000" si="234">ROUND(SUM(F998:I998),2)</f>
        <v>0</v>
      </c>
      <c r="K998" s="29">
        <f t="shared" ref="K998:K1000" si="235">ROUND(J998*E998,2)</f>
        <v>0</v>
      </c>
      <c r="L998" s="96"/>
    </row>
    <row r="999" s="86" customFormat="1" ht="108" outlineLevel="2" spans="1:12">
      <c r="A999" s="103">
        <f t="shared" si="232"/>
        <v>2</v>
      </c>
      <c r="B999" s="98" t="s">
        <v>249</v>
      </c>
      <c r="C999" s="99" t="s">
        <v>250</v>
      </c>
      <c r="D999" s="100" t="s">
        <v>58</v>
      </c>
      <c r="E999" s="101">
        <v>4.04</v>
      </c>
      <c r="F999" s="101"/>
      <c r="G999" s="101"/>
      <c r="H999" s="101"/>
      <c r="I999" s="27">
        <f t="shared" si="233"/>
        <v>0</v>
      </c>
      <c r="J999" s="28">
        <f t="shared" si="234"/>
        <v>0</v>
      </c>
      <c r="K999" s="29">
        <f t="shared" si="235"/>
        <v>0</v>
      </c>
      <c r="L999" s="96"/>
    </row>
    <row r="1000" s="86" customFormat="1" ht="48" outlineLevel="2" spans="1:12">
      <c r="A1000" s="103">
        <f t="shared" si="232"/>
        <v>3</v>
      </c>
      <c r="B1000" s="98" t="s">
        <v>66</v>
      </c>
      <c r="C1000" s="99" t="s">
        <v>67</v>
      </c>
      <c r="D1000" s="100" t="s">
        <v>58</v>
      </c>
      <c r="E1000" s="101">
        <f>+E998+E999</f>
        <v>88.715</v>
      </c>
      <c r="F1000" s="101"/>
      <c r="G1000" s="101"/>
      <c r="H1000" s="101"/>
      <c r="I1000" s="27">
        <f t="shared" si="233"/>
        <v>0</v>
      </c>
      <c r="J1000" s="28">
        <f t="shared" si="234"/>
        <v>0</v>
      </c>
      <c r="K1000" s="29">
        <f t="shared" si="235"/>
        <v>0</v>
      </c>
      <c r="L1000" s="96"/>
    </row>
    <row r="1001" s="86" customFormat="1" ht="24" customHeight="1" outlineLevel="1" spans="1:12">
      <c r="A1001" s="97"/>
      <c r="B1001" s="98" t="s">
        <v>68</v>
      </c>
      <c r="C1001" s="99"/>
      <c r="D1001" s="100"/>
      <c r="E1001" s="101"/>
      <c r="F1001" s="101"/>
      <c r="G1001" s="101"/>
      <c r="H1001" s="101"/>
      <c r="I1001" s="101"/>
      <c r="J1001" s="101"/>
      <c r="K1001" s="102"/>
      <c r="L1001" s="96"/>
    </row>
    <row r="1002" s="86" customFormat="1" ht="60" customHeight="1" outlineLevel="2" spans="1:12">
      <c r="A1002" s="103">
        <f t="shared" ref="A1002:A1014" si="236">1+N(A1001)</f>
        <v>1</v>
      </c>
      <c r="B1002" s="104" t="s">
        <v>474</v>
      </c>
      <c r="C1002" s="99" t="s">
        <v>475</v>
      </c>
      <c r="D1002" s="100" t="s">
        <v>58</v>
      </c>
      <c r="E1002" s="101">
        <v>11.974</v>
      </c>
      <c r="F1002" s="101"/>
      <c r="G1002" s="101"/>
      <c r="H1002" s="101"/>
      <c r="I1002" s="27">
        <f t="shared" ref="I1002:I1014" si="237">(F1002+G1002+H1002)*$I$3</f>
        <v>0</v>
      </c>
      <c r="J1002" s="28">
        <f t="shared" ref="J1002:J1014" si="238">ROUND(SUM(F1002:I1002),2)</f>
        <v>0</v>
      </c>
      <c r="K1002" s="29">
        <f t="shared" ref="K1002:K1014" si="239">ROUND(J1002*E1002,2)</f>
        <v>0</v>
      </c>
      <c r="L1002" s="96"/>
    </row>
    <row r="1003" s="86" customFormat="1" ht="60" customHeight="1" outlineLevel="2" spans="1:12">
      <c r="A1003" s="103">
        <f t="shared" si="236"/>
        <v>2</v>
      </c>
      <c r="B1003" s="104" t="s">
        <v>280</v>
      </c>
      <c r="C1003" s="99" t="s">
        <v>476</v>
      </c>
      <c r="D1003" s="100" t="s">
        <v>58</v>
      </c>
      <c r="E1003" s="101">
        <v>137.246</v>
      </c>
      <c r="F1003" s="101"/>
      <c r="G1003" s="101"/>
      <c r="H1003" s="101"/>
      <c r="I1003" s="27">
        <f t="shared" si="237"/>
        <v>0</v>
      </c>
      <c r="J1003" s="28">
        <f t="shared" si="238"/>
        <v>0</v>
      </c>
      <c r="K1003" s="29">
        <f t="shared" si="239"/>
        <v>0</v>
      </c>
      <c r="L1003" s="96"/>
    </row>
    <row r="1004" s="86" customFormat="1" ht="60" customHeight="1" outlineLevel="2" spans="1:12">
      <c r="A1004" s="103">
        <f t="shared" si="236"/>
        <v>3</v>
      </c>
      <c r="B1004" s="98" t="s">
        <v>477</v>
      </c>
      <c r="C1004" s="99" t="s">
        <v>478</v>
      </c>
      <c r="D1004" s="100" t="s">
        <v>58</v>
      </c>
      <c r="E1004" s="101">
        <v>29.472</v>
      </c>
      <c r="F1004" s="101"/>
      <c r="G1004" s="101"/>
      <c r="H1004" s="101"/>
      <c r="I1004" s="27">
        <f t="shared" si="237"/>
        <v>0</v>
      </c>
      <c r="J1004" s="28">
        <f t="shared" si="238"/>
        <v>0</v>
      </c>
      <c r="K1004" s="29">
        <f t="shared" si="239"/>
        <v>0</v>
      </c>
      <c r="L1004" s="96"/>
    </row>
    <row r="1005" s="86" customFormat="1" ht="60" customHeight="1" outlineLevel="2" spans="1:12">
      <c r="A1005" s="103">
        <f t="shared" si="236"/>
        <v>4</v>
      </c>
      <c r="B1005" s="104" t="s">
        <v>71</v>
      </c>
      <c r="C1005" s="99" t="s">
        <v>72</v>
      </c>
      <c r="D1005" s="100" t="s">
        <v>58</v>
      </c>
      <c r="E1005" s="101">
        <v>3.672</v>
      </c>
      <c r="F1005" s="101"/>
      <c r="G1005" s="101"/>
      <c r="H1005" s="101"/>
      <c r="I1005" s="27">
        <f t="shared" si="237"/>
        <v>0</v>
      </c>
      <c r="J1005" s="28">
        <f t="shared" si="238"/>
        <v>0</v>
      </c>
      <c r="K1005" s="29">
        <f t="shared" si="239"/>
        <v>0</v>
      </c>
      <c r="L1005" s="96"/>
    </row>
    <row r="1006" s="86" customFormat="1" ht="60" customHeight="1" outlineLevel="2" spans="1:12">
      <c r="A1006" s="103">
        <f t="shared" si="236"/>
        <v>5</v>
      </c>
      <c r="B1006" s="98" t="s">
        <v>302</v>
      </c>
      <c r="C1006" s="99" t="s">
        <v>303</v>
      </c>
      <c r="D1006" s="100" t="s">
        <v>58</v>
      </c>
      <c r="E1006" s="101">
        <v>23.471</v>
      </c>
      <c r="F1006" s="101"/>
      <c r="G1006" s="101"/>
      <c r="H1006" s="101"/>
      <c r="I1006" s="27">
        <f t="shared" si="237"/>
        <v>0</v>
      </c>
      <c r="J1006" s="28">
        <f t="shared" si="238"/>
        <v>0</v>
      </c>
      <c r="K1006" s="29">
        <f t="shared" si="239"/>
        <v>0</v>
      </c>
      <c r="L1006" s="96"/>
    </row>
    <row r="1007" s="86" customFormat="1" ht="60" customHeight="1" outlineLevel="2" spans="1:12">
      <c r="A1007" s="103">
        <f t="shared" si="236"/>
        <v>6</v>
      </c>
      <c r="B1007" s="98" t="s">
        <v>255</v>
      </c>
      <c r="C1007" s="99" t="s">
        <v>256</v>
      </c>
      <c r="D1007" s="100" t="s">
        <v>58</v>
      </c>
      <c r="E1007" s="101">
        <v>23.471</v>
      </c>
      <c r="F1007" s="101"/>
      <c r="G1007" s="101"/>
      <c r="H1007" s="101"/>
      <c r="I1007" s="27">
        <f t="shared" si="237"/>
        <v>0</v>
      </c>
      <c r="J1007" s="28">
        <f t="shared" si="238"/>
        <v>0</v>
      </c>
      <c r="K1007" s="29">
        <f t="shared" si="239"/>
        <v>0</v>
      </c>
      <c r="L1007" s="96"/>
    </row>
    <row r="1008" s="86" customFormat="1" ht="60" customHeight="1" outlineLevel="2" spans="1:12">
      <c r="A1008" s="103">
        <f t="shared" si="236"/>
        <v>7</v>
      </c>
      <c r="B1008" s="98" t="s">
        <v>169</v>
      </c>
      <c r="C1008" s="99" t="s">
        <v>257</v>
      </c>
      <c r="D1008" s="100" t="s">
        <v>58</v>
      </c>
      <c r="E1008" s="101">
        <v>14.775</v>
      </c>
      <c r="F1008" s="101"/>
      <c r="G1008" s="101"/>
      <c r="H1008" s="101"/>
      <c r="I1008" s="27">
        <f t="shared" si="237"/>
        <v>0</v>
      </c>
      <c r="J1008" s="28">
        <f t="shared" si="238"/>
        <v>0</v>
      </c>
      <c r="K1008" s="29">
        <f t="shared" si="239"/>
        <v>0</v>
      </c>
      <c r="L1008" s="96"/>
    </row>
    <row r="1009" s="86" customFormat="1" ht="48" outlineLevel="2" spans="1:12">
      <c r="A1009" s="103">
        <f t="shared" si="236"/>
        <v>8</v>
      </c>
      <c r="B1009" s="105" t="s">
        <v>79</v>
      </c>
      <c r="C1009" s="106" t="s">
        <v>78</v>
      </c>
      <c r="D1009" s="105" t="s">
        <v>58</v>
      </c>
      <c r="E1009" s="101">
        <f>0.345*3.4*2*2</f>
        <v>4.692</v>
      </c>
      <c r="F1009" s="101"/>
      <c r="G1009" s="101"/>
      <c r="H1009" s="101"/>
      <c r="I1009" s="27">
        <f t="shared" si="237"/>
        <v>0</v>
      </c>
      <c r="J1009" s="28">
        <f t="shared" si="238"/>
        <v>0</v>
      </c>
      <c r="K1009" s="29">
        <f t="shared" si="239"/>
        <v>0</v>
      </c>
      <c r="L1009" s="96"/>
    </row>
    <row r="1010" s="86" customFormat="1" ht="60" outlineLevel="2" spans="1:12">
      <c r="A1010" s="103">
        <f t="shared" si="236"/>
        <v>9</v>
      </c>
      <c r="B1010" s="105" t="s">
        <v>80</v>
      </c>
      <c r="C1010" s="106" t="s">
        <v>81</v>
      </c>
      <c r="D1010" s="105" t="s">
        <v>58</v>
      </c>
      <c r="E1010" s="101">
        <f>+(0.061+1.12+0.114+0.074)*0.95*2</f>
        <v>2.6011</v>
      </c>
      <c r="F1010" s="101"/>
      <c r="G1010" s="101"/>
      <c r="H1010" s="101"/>
      <c r="I1010" s="27">
        <f t="shared" si="237"/>
        <v>0</v>
      </c>
      <c r="J1010" s="28">
        <f t="shared" si="238"/>
        <v>0</v>
      </c>
      <c r="K1010" s="29">
        <f t="shared" si="239"/>
        <v>0</v>
      </c>
      <c r="L1010" s="96"/>
    </row>
    <row r="1011" s="86" customFormat="1" ht="60" customHeight="1" outlineLevel="2" spans="1:12">
      <c r="A1011" s="103">
        <f t="shared" si="236"/>
        <v>10</v>
      </c>
      <c r="B1011" s="98" t="s">
        <v>82</v>
      </c>
      <c r="C1011" s="106" t="s">
        <v>83</v>
      </c>
      <c r="D1011" s="100" t="s">
        <v>58</v>
      </c>
      <c r="E1011" s="101">
        <v>0.253</v>
      </c>
      <c r="F1011" s="101"/>
      <c r="G1011" s="101"/>
      <c r="H1011" s="101"/>
      <c r="I1011" s="27">
        <f t="shared" si="237"/>
        <v>0</v>
      </c>
      <c r="J1011" s="28">
        <f t="shared" si="238"/>
        <v>0</v>
      </c>
      <c r="K1011" s="29">
        <f t="shared" si="239"/>
        <v>0</v>
      </c>
      <c r="L1011" s="96"/>
    </row>
    <row r="1012" s="86" customFormat="1" ht="60" customHeight="1" outlineLevel="2" spans="1:12">
      <c r="A1012" s="103">
        <f t="shared" si="236"/>
        <v>11</v>
      </c>
      <c r="B1012" s="98" t="s">
        <v>86</v>
      </c>
      <c r="C1012" s="99" t="s">
        <v>87</v>
      </c>
      <c r="D1012" s="100" t="s">
        <v>65</v>
      </c>
      <c r="E1012" s="101">
        <v>0.253</v>
      </c>
      <c r="F1012" s="101"/>
      <c r="G1012" s="101"/>
      <c r="H1012" s="101"/>
      <c r="I1012" s="27">
        <f t="shared" si="237"/>
        <v>0</v>
      </c>
      <c r="J1012" s="28">
        <f t="shared" si="238"/>
        <v>0</v>
      </c>
      <c r="K1012" s="29">
        <f t="shared" si="239"/>
        <v>0</v>
      </c>
      <c r="L1012" s="96"/>
    </row>
    <row r="1013" s="86" customFormat="1" ht="60" customHeight="1" outlineLevel="2" spans="1:12">
      <c r="A1013" s="103">
        <f t="shared" si="236"/>
        <v>12</v>
      </c>
      <c r="B1013" s="98" t="s">
        <v>94</v>
      </c>
      <c r="C1013" s="99" t="s">
        <v>95</v>
      </c>
      <c r="D1013" s="100" t="s">
        <v>65</v>
      </c>
      <c r="E1013" s="101">
        <v>68.103</v>
      </c>
      <c r="F1013" s="101"/>
      <c r="G1013" s="101"/>
      <c r="H1013" s="101"/>
      <c r="I1013" s="27">
        <f t="shared" si="237"/>
        <v>0</v>
      </c>
      <c r="J1013" s="28">
        <f t="shared" si="238"/>
        <v>0</v>
      </c>
      <c r="K1013" s="29">
        <f t="shared" si="239"/>
        <v>0</v>
      </c>
      <c r="L1013" s="96"/>
    </row>
    <row r="1014" s="86" customFormat="1" ht="60" customHeight="1" outlineLevel="2" spans="1:12">
      <c r="A1014" s="103">
        <f t="shared" si="236"/>
        <v>13</v>
      </c>
      <c r="B1014" s="98" t="s">
        <v>234</v>
      </c>
      <c r="C1014" s="99" t="s">
        <v>235</v>
      </c>
      <c r="D1014" s="105" t="s">
        <v>58</v>
      </c>
      <c r="E1014" s="101">
        <f>+(1.75+3.6-1)*2*3*0.095</f>
        <v>2.4795</v>
      </c>
      <c r="F1014" s="101"/>
      <c r="G1014" s="101"/>
      <c r="H1014" s="101"/>
      <c r="I1014" s="27">
        <f t="shared" si="237"/>
        <v>0</v>
      </c>
      <c r="J1014" s="28">
        <f t="shared" si="238"/>
        <v>0</v>
      </c>
      <c r="K1014" s="29">
        <f t="shared" si="239"/>
        <v>0</v>
      </c>
      <c r="L1014" s="96"/>
    </row>
    <row r="1015" s="86" customFormat="1" ht="24" customHeight="1" outlineLevel="1" spans="1:12">
      <c r="A1015" s="97"/>
      <c r="B1015" s="98" t="s">
        <v>96</v>
      </c>
      <c r="C1015" s="99"/>
      <c r="D1015" s="100"/>
      <c r="E1015" s="101"/>
      <c r="F1015" s="101"/>
      <c r="G1015" s="101"/>
      <c r="H1015" s="101"/>
      <c r="I1015" s="101"/>
      <c r="J1015" s="101"/>
      <c r="K1015" s="102"/>
      <c r="L1015" s="96"/>
    </row>
    <row r="1016" s="86" customFormat="1" ht="72" customHeight="1" outlineLevel="2" spans="1:12">
      <c r="A1016" s="103">
        <f t="shared" ref="A1016:A1024" si="240">1+N(A1015)</f>
        <v>1</v>
      </c>
      <c r="B1016" s="98" t="s">
        <v>97</v>
      </c>
      <c r="C1016" s="108" t="s">
        <v>260</v>
      </c>
      <c r="D1016" s="100" t="s">
        <v>58</v>
      </c>
      <c r="E1016" s="101">
        <v>60.033</v>
      </c>
      <c r="F1016" s="101"/>
      <c r="G1016" s="101"/>
      <c r="H1016" s="101"/>
      <c r="I1016" s="27">
        <f t="shared" ref="I1016:I1024" si="241">(F1016+G1016+H1016)*$I$3</f>
        <v>0</v>
      </c>
      <c r="J1016" s="28">
        <f t="shared" ref="J1016:J1024" si="242">ROUND(SUM(F1016:I1016),2)</f>
        <v>0</v>
      </c>
      <c r="K1016" s="29">
        <f t="shared" ref="K1016:K1024" si="243">ROUND(J1016*E1016,2)</f>
        <v>0</v>
      </c>
      <c r="L1016" s="96"/>
    </row>
    <row r="1017" s="86" customFormat="1" ht="72" outlineLevel="2" spans="1:12">
      <c r="A1017" s="103">
        <f t="shared" si="240"/>
        <v>2</v>
      </c>
      <c r="B1017" s="98" t="s">
        <v>261</v>
      </c>
      <c r="C1017" s="108" t="s">
        <v>262</v>
      </c>
      <c r="D1017" s="100" t="s">
        <v>58</v>
      </c>
      <c r="E1017" s="101">
        <v>22.214</v>
      </c>
      <c r="F1017" s="101"/>
      <c r="G1017" s="101"/>
      <c r="H1017" s="101"/>
      <c r="I1017" s="27">
        <f t="shared" si="241"/>
        <v>0</v>
      </c>
      <c r="J1017" s="28">
        <f t="shared" si="242"/>
        <v>0</v>
      </c>
      <c r="K1017" s="29">
        <f t="shared" si="243"/>
        <v>0</v>
      </c>
      <c r="L1017" s="96"/>
    </row>
    <row r="1018" s="86" customFormat="1" ht="48" outlineLevel="2" spans="1:12">
      <c r="A1018" s="103">
        <f t="shared" si="240"/>
        <v>3</v>
      </c>
      <c r="B1018" s="98" t="s">
        <v>128</v>
      </c>
      <c r="C1018" s="108" t="s">
        <v>129</v>
      </c>
      <c r="D1018" s="100" t="s">
        <v>58</v>
      </c>
      <c r="E1018" s="101">
        <v>1.72</v>
      </c>
      <c r="F1018" s="101"/>
      <c r="G1018" s="101"/>
      <c r="H1018" s="101"/>
      <c r="I1018" s="27">
        <f t="shared" si="241"/>
        <v>0</v>
      </c>
      <c r="J1018" s="28">
        <f t="shared" si="242"/>
        <v>0</v>
      </c>
      <c r="K1018" s="29">
        <f t="shared" si="243"/>
        <v>0</v>
      </c>
      <c r="L1018" s="96"/>
    </row>
    <row r="1019" s="86" customFormat="1" ht="72" customHeight="1" outlineLevel="2" spans="1:12">
      <c r="A1019" s="103">
        <f t="shared" si="240"/>
        <v>4</v>
      </c>
      <c r="B1019" s="98" t="s">
        <v>101</v>
      </c>
      <c r="C1019" s="99" t="s">
        <v>432</v>
      </c>
      <c r="D1019" s="100" t="s">
        <v>65</v>
      </c>
      <c r="E1019" s="101">
        <v>6.403</v>
      </c>
      <c r="F1019" s="101"/>
      <c r="G1019" s="101"/>
      <c r="H1019" s="101"/>
      <c r="I1019" s="27">
        <f t="shared" si="241"/>
        <v>0</v>
      </c>
      <c r="J1019" s="28">
        <f t="shared" si="242"/>
        <v>0</v>
      </c>
      <c r="K1019" s="29">
        <f t="shared" si="243"/>
        <v>0</v>
      </c>
      <c r="L1019" s="96"/>
    </row>
    <row r="1020" s="86" customFormat="1" ht="60" customHeight="1" outlineLevel="2" spans="1:12">
      <c r="A1020" s="103">
        <f t="shared" si="240"/>
        <v>5</v>
      </c>
      <c r="B1020" s="98" t="s">
        <v>103</v>
      </c>
      <c r="C1020" s="99" t="s">
        <v>104</v>
      </c>
      <c r="D1020" s="100" t="s">
        <v>65</v>
      </c>
      <c r="E1020" s="101">
        <f>1.5+2.14+1*2</f>
        <v>5.64</v>
      </c>
      <c r="F1020" s="101"/>
      <c r="G1020" s="101"/>
      <c r="H1020" s="101"/>
      <c r="I1020" s="27">
        <f t="shared" si="241"/>
        <v>0</v>
      </c>
      <c r="J1020" s="28">
        <f t="shared" si="242"/>
        <v>0</v>
      </c>
      <c r="K1020" s="29">
        <f t="shared" si="243"/>
        <v>0</v>
      </c>
      <c r="L1020" s="96"/>
    </row>
    <row r="1021" s="86" customFormat="1" ht="60" customHeight="1" outlineLevel="2" spans="1:12">
      <c r="A1021" s="103">
        <f t="shared" si="240"/>
        <v>6</v>
      </c>
      <c r="B1021" s="98" t="s">
        <v>99</v>
      </c>
      <c r="C1021" s="99" t="s">
        <v>100</v>
      </c>
      <c r="D1021" s="100" t="s">
        <v>65</v>
      </c>
      <c r="E1021" s="101">
        <f>6.403+6.403</f>
        <v>12.806</v>
      </c>
      <c r="F1021" s="101"/>
      <c r="G1021" s="101"/>
      <c r="H1021" s="101"/>
      <c r="I1021" s="27">
        <f t="shared" si="241"/>
        <v>0</v>
      </c>
      <c r="J1021" s="28">
        <f t="shared" si="242"/>
        <v>0</v>
      </c>
      <c r="K1021" s="29">
        <f t="shared" si="243"/>
        <v>0</v>
      </c>
      <c r="L1021" s="96"/>
    </row>
    <row r="1022" s="86" customFormat="1" ht="60" customHeight="1" outlineLevel="2" spans="1:12">
      <c r="A1022" s="103">
        <f t="shared" si="240"/>
        <v>7</v>
      </c>
      <c r="B1022" s="98" t="s">
        <v>479</v>
      </c>
      <c r="C1022" s="99" t="s">
        <v>480</v>
      </c>
      <c r="D1022" s="100" t="s">
        <v>65</v>
      </c>
      <c r="E1022" s="101">
        <v>6.078</v>
      </c>
      <c r="F1022" s="101"/>
      <c r="G1022" s="101"/>
      <c r="H1022" s="101"/>
      <c r="I1022" s="27">
        <f t="shared" si="241"/>
        <v>0</v>
      </c>
      <c r="J1022" s="28">
        <f t="shared" si="242"/>
        <v>0</v>
      </c>
      <c r="K1022" s="29">
        <f t="shared" si="243"/>
        <v>0</v>
      </c>
      <c r="L1022" s="96"/>
    </row>
    <row r="1023" s="86" customFormat="1" ht="72" customHeight="1" outlineLevel="2" spans="1:12">
      <c r="A1023" s="103">
        <f t="shared" si="240"/>
        <v>8</v>
      </c>
      <c r="B1023" s="98" t="s">
        <v>105</v>
      </c>
      <c r="C1023" s="99" t="s">
        <v>106</v>
      </c>
      <c r="D1023" s="100" t="s">
        <v>58</v>
      </c>
      <c r="E1023" s="101">
        <f>67.506+22.214+E1022*(0.12+0.2)</f>
        <v>91.66496</v>
      </c>
      <c r="F1023" s="101"/>
      <c r="G1023" s="101"/>
      <c r="H1023" s="101"/>
      <c r="I1023" s="27">
        <f t="shared" si="241"/>
        <v>0</v>
      </c>
      <c r="J1023" s="28">
        <f t="shared" si="242"/>
        <v>0</v>
      </c>
      <c r="K1023" s="29">
        <f t="shared" si="243"/>
        <v>0</v>
      </c>
      <c r="L1023" s="96"/>
    </row>
    <row r="1024" s="86" customFormat="1" ht="72" customHeight="1" outlineLevel="2" spans="1:12">
      <c r="A1024" s="103">
        <f t="shared" si="240"/>
        <v>9</v>
      </c>
      <c r="B1024" s="98" t="s">
        <v>265</v>
      </c>
      <c r="C1024" s="99" t="s">
        <v>266</v>
      </c>
      <c r="D1024" s="100" t="s">
        <v>58</v>
      </c>
      <c r="E1024" s="101">
        <v>22.214</v>
      </c>
      <c r="F1024" s="101"/>
      <c r="G1024" s="101"/>
      <c r="H1024" s="101"/>
      <c r="I1024" s="27">
        <f t="shared" si="241"/>
        <v>0</v>
      </c>
      <c r="J1024" s="28">
        <f t="shared" si="242"/>
        <v>0</v>
      </c>
      <c r="K1024" s="29">
        <f t="shared" si="243"/>
        <v>0</v>
      </c>
      <c r="L1024" s="96"/>
    </row>
    <row r="1025" s="86" customFormat="1" ht="24" customHeight="1" outlineLevel="1" spans="1:12">
      <c r="A1025" s="97"/>
      <c r="B1025" s="98" t="s">
        <v>107</v>
      </c>
      <c r="C1025" s="99"/>
      <c r="D1025" s="100"/>
      <c r="E1025" s="101"/>
      <c r="F1025" s="101"/>
      <c r="G1025" s="101"/>
      <c r="H1025" s="101"/>
      <c r="I1025" s="101"/>
      <c r="J1025" s="101"/>
      <c r="K1025" s="102"/>
      <c r="L1025" s="96"/>
    </row>
    <row r="1026" s="86" customFormat="1" ht="60" outlineLevel="2" spans="1:12">
      <c r="A1026" s="103">
        <f t="shared" ref="A1026:A1031" si="244">1+N(A1025)</f>
        <v>1</v>
      </c>
      <c r="B1026" s="98" t="s">
        <v>463</v>
      </c>
      <c r="C1026" s="99" t="s">
        <v>464</v>
      </c>
      <c r="D1026" s="100" t="s">
        <v>58</v>
      </c>
      <c r="E1026" s="101">
        <f>0.85*3</f>
        <v>2.55</v>
      </c>
      <c r="F1026" s="101"/>
      <c r="G1026" s="101"/>
      <c r="H1026" s="101"/>
      <c r="I1026" s="27">
        <f t="shared" ref="I1026:I1031" si="245">(F1026+G1026+H1026)*$I$3</f>
        <v>0</v>
      </c>
      <c r="J1026" s="28">
        <f t="shared" ref="J1026:J1031" si="246">ROUND(SUM(F1026:I1026),2)</f>
        <v>0</v>
      </c>
      <c r="K1026" s="29">
        <f t="shared" ref="K1026:K1031" si="247">ROUND(J1026*E1026,2)</f>
        <v>0</v>
      </c>
      <c r="L1026" s="96"/>
    </row>
    <row r="1027" s="86" customFormat="1" ht="36" outlineLevel="2" spans="1:12">
      <c r="A1027" s="103">
        <f t="shared" si="244"/>
        <v>2</v>
      </c>
      <c r="B1027" s="98" t="s">
        <v>121</v>
      </c>
      <c r="C1027" s="99" t="s">
        <v>109</v>
      </c>
      <c r="D1027" s="100" t="s">
        <v>58</v>
      </c>
      <c r="E1027" s="101">
        <f>0.8*3.4*2</f>
        <v>5.44</v>
      </c>
      <c r="F1027" s="101"/>
      <c r="G1027" s="101"/>
      <c r="H1027" s="101"/>
      <c r="I1027" s="27">
        <f t="shared" si="245"/>
        <v>0</v>
      </c>
      <c r="J1027" s="28">
        <f t="shared" si="246"/>
        <v>0</v>
      </c>
      <c r="K1027" s="29">
        <f t="shared" si="247"/>
        <v>0</v>
      </c>
      <c r="L1027" s="96"/>
    </row>
    <row r="1028" s="86" customFormat="1" ht="48" outlineLevel="2" spans="1:12">
      <c r="A1028" s="103">
        <f t="shared" si="244"/>
        <v>3</v>
      </c>
      <c r="B1028" s="98" t="s">
        <v>481</v>
      </c>
      <c r="C1028" s="99" t="s">
        <v>482</v>
      </c>
      <c r="D1028" s="100" t="s">
        <v>58</v>
      </c>
      <c r="E1028" s="101">
        <f>0.8*3.4*3</f>
        <v>8.16</v>
      </c>
      <c r="F1028" s="101"/>
      <c r="G1028" s="101"/>
      <c r="H1028" s="101"/>
      <c r="I1028" s="27">
        <f t="shared" si="245"/>
        <v>0</v>
      </c>
      <c r="J1028" s="28">
        <f t="shared" si="246"/>
        <v>0</v>
      </c>
      <c r="K1028" s="29">
        <f t="shared" si="247"/>
        <v>0</v>
      </c>
      <c r="L1028" s="96"/>
    </row>
    <row r="1029" s="86" customFormat="1" ht="48" outlineLevel="2" spans="1:12">
      <c r="A1029" s="103">
        <f t="shared" si="244"/>
        <v>4</v>
      </c>
      <c r="B1029" s="98" t="s">
        <v>267</v>
      </c>
      <c r="C1029" s="99" t="s">
        <v>268</v>
      </c>
      <c r="D1029" s="100" t="s">
        <v>58</v>
      </c>
      <c r="E1029" s="101">
        <f>1.81*3.4</f>
        <v>6.154</v>
      </c>
      <c r="F1029" s="101"/>
      <c r="G1029" s="101"/>
      <c r="H1029" s="101"/>
      <c r="I1029" s="27">
        <f t="shared" si="245"/>
        <v>0</v>
      </c>
      <c r="J1029" s="28">
        <f t="shared" si="246"/>
        <v>0</v>
      </c>
      <c r="K1029" s="29">
        <f t="shared" si="247"/>
        <v>0</v>
      </c>
      <c r="L1029" s="96"/>
    </row>
    <row r="1030" s="86" customFormat="1" ht="60" outlineLevel="2" spans="1:12">
      <c r="A1030" s="103">
        <f t="shared" si="244"/>
        <v>5</v>
      </c>
      <c r="B1030" s="98" t="s">
        <v>417</v>
      </c>
      <c r="C1030" s="99" t="s">
        <v>483</v>
      </c>
      <c r="D1030" s="100" t="s">
        <v>65</v>
      </c>
      <c r="E1030" s="101">
        <v>2.16</v>
      </c>
      <c r="F1030" s="101"/>
      <c r="G1030" s="101"/>
      <c r="H1030" s="101"/>
      <c r="I1030" s="27">
        <f t="shared" si="245"/>
        <v>0</v>
      </c>
      <c r="J1030" s="28">
        <f t="shared" si="246"/>
        <v>0</v>
      </c>
      <c r="K1030" s="29">
        <f t="shared" si="247"/>
        <v>0</v>
      </c>
      <c r="L1030" s="96"/>
    </row>
    <row r="1031" s="86" customFormat="1" ht="48" outlineLevel="2" spans="1:12">
      <c r="A1031" s="103">
        <f t="shared" si="244"/>
        <v>6</v>
      </c>
      <c r="B1031" s="98" t="s">
        <v>484</v>
      </c>
      <c r="C1031" s="99" t="s">
        <v>485</v>
      </c>
      <c r="D1031" s="100" t="s">
        <v>58</v>
      </c>
      <c r="E1031" s="101">
        <f>0.94*2.6</f>
        <v>2.444</v>
      </c>
      <c r="F1031" s="101"/>
      <c r="G1031" s="101"/>
      <c r="H1031" s="101"/>
      <c r="I1031" s="27">
        <f t="shared" si="245"/>
        <v>0</v>
      </c>
      <c r="J1031" s="28">
        <f t="shared" si="246"/>
        <v>0</v>
      </c>
      <c r="K1031" s="29">
        <f t="shared" si="247"/>
        <v>0</v>
      </c>
      <c r="L1031" s="96"/>
    </row>
    <row r="1032" s="86" customFormat="1" ht="24" customHeight="1" outlineLevel="1" spans="1:12">
      <c r="A1032" s="92" t="s">
        <v>144</v>
      </c>
      <c r="B1032" s="93" t="s">
        <v>155</v>
      </c>
      <c r="C1032" s="93"/>
      <c r="D1032" s="94"/>
      <c r="E1032" s="95"/>
      <c r="F1032" s="95"/>
      <c r="G1032" s="95"/>
      <c r="H1032" s="95"/>
      <c r="I1032" s="95"/>
      <c r="J1032" s="95"/>
      <c r="K1032" s="23"/>
      <c r="L1032" s="96"/>
    </row>
    <row r="1033" s="86" customFormat="1" ht="24" customHeight="1" outlineLevel="1" spans="1:12">
      <c r="A1033" s="97"/>
      <c r="B1033" s="105" t="s">
        <v>156</v>
      </c>
      <c r="C1033" s="99"/>
      <c r="D1033" s="100"/>
      <c r="E1033" s="101"/>
      <c r="F1033" s="101"/>
      <c r="G1033" s="101"/>
      <c r="H1033" s="101"/>
      <c r="I1033" s="101"/>
      <c r="J1033" s="101"/>
      <c r="K1033" s="102"/>
      <c r="L1033" s="96"/>
    </row>
    <row r="1034" s="86" customFormat="1" ht="60" outlineLevel="2" spans="1:12">
      <c r="A1034" s="103">
        <f t="shared" ref="A1034:A1037" si="248">1+N(A1033)</f>
        <v>1</v>
      </c>
      <c r="B1034" s="105" t="s">
        <v>207</v>
      </c>
      <c r="C1034" s="106" t="s">
        <v>208</v>
      </c>
      <c r="D1034" s="100" t="s">
        <v>209</v>
      </c>
      <c r="E1034" s="101">
        <f>2.53*5.67-0.9*3.1*0.2-0.9*3.1*0.1*2</f>
        <v>13.2291</v>
      </c>
      <c r="F1034" s="101"/>
      <c r="G1034" s="101"/>
      <c r="H1034" s="101"/>
      <c r="I1034" s="27">
        <f t="shared" ref="I1034:I1037" si="249">(F1034+G1034+H1034)*$I$3</f>
        <v>0</v>
      </c>
      <c r="J1034" s="28">
        <f t="shared" ref="J1034:J1037" si="250">ROUND(SUM(F1034:I1034),2)</f>
        <v>0</v>
      </c>
      <c r="K1034" s="29">
        <f t="shared" ref="K1034:K1037" si="251">ROUND(J1034*E1034,2)</f>
        <v>0</v>
      </c>
      <c r="L1034" s="96"/>
    </row>
    <row r="1035" s="86" customFormat="1" ht="33.75" outlineLevel="2" spans="1:12">
      <c r="A1035" s="103">
        <f t="shared" si="248"/>
        <v>2</v>
      </c>
      <c r="B1035" s="105" t="s">
        <v>210</v>
      </c>
      <c r="C1035" s="114" t="s">
        <v>211</v>
      </c>
      <c r="D1035" s="115" t="s">
        <v>58</v>
      </c>
      <c r="E1035" s="101">
        <f>27.9*5.67-0.9*3.1*5</f>
        <v>144.243</v>
      </c>
      <c r="F1035" s="101"/>
      <c r="G1035" s="101"/>
      <c r="H1035" s="101"/>
      <c r="I1035" s="27">
        <f t="shared" si="249"/>
        <v>0</v>
      </c>
      <c r="J1035" s="28">
        <f t="shared" si="250"/>
        <v>0</v>
      </c>
      <c r="K1035" s="29">
        <f t="shared" si="251"/>
        <v>0</v>
      </c>
      <c r="L1035" s="96"/>
    </row>
    <row r="1036" s="86" customFormat="1" ht="72" outlineLevel="2" spans="1:12">
      <c r="A1036" s="103">
        <f t="shared" si="248"/>
        <v>3</v>
      </c>
      <c r="B1036" s="105" t="s">
        <v>157</v>
      </c>
      <c r="C1036" s="106" t="s">
        <v>158</v>
      </c>
      <c r="D1036" s="100" t="s">
        <v>58</v>
      </c>
      <c r="E1036" s="101">
        <f>77.202*5.67-3.3*(3.86+5.66+1.58+5.475)*2-1.05*3.1*2-0.9*2.7*2</f>
        <v>316.97034</v>
      </c>
      <c r="F1036" s="101"/>
      <c r="G1036" s="101"/>
      <c r="H1036" s="101"/>
      <c r="I1036" s="27">
        <f t="shared" si="249"/>
        <v>0</v>
      </c>
      <c r="J1036" s="28">
        <f t="shared" si="250"/>
        <v>0</v>
      </c>
      <c r="K1036" s="29">
        <f t="shared" si="251"/>
        <v>0</v>
      </c>
      <c r="L1036" s="96"/>
    </row>
    <row r="1037" s="86" customFormat="1" ht="72" outlineLevel="2" spans="1:12">
      <c r="A1037" s="103">
        <f t="shared" si="248"/>
        <v>4</v>
      </c>
      <c r="B1037" s="105" t="s">
        <v>486</v>
      </c>
      <c r="C1037" s="106" t="s">
        <v>487</v>
      </c>
      <c r="D1037" s="100" t="s">
        <v>58</v>
      </c>
      <c r="E1037" s="101">
        <f>19.844*5.67</f>
        <v>112.51548</v>
      </c>
      <c r="F1037" s="101"/>
      <c r="G1037" s="101"/>
      <c r="H1037" s="101"/>
      <c r="I1037" s="27">
        <f t="shared" si="249"/>
        <v>0</v>
      </c>
      <c r="J1037" s="28">
        <f t="shared" si="250"/>
        <v>0</v>
      </c>
      <c r="K1037" s="29">
        <f t="shared" si="251"/>
        <v>0</v>
      </c>
      <c r="L1037" s="96"/>
    </row>
    <row r="1038" s="2" customFormat="1" ht="24" customHeight="1" spans="1:12">
      <c r="A1038" s="21"/>
      <c r="B1038" s="21" t="s">
        <v>488</v>
      </c>
      <c r="C1038" s="21"/>
      <c r="D1038" s="21"/>
      <c r="E1038" s="109"/>
      <c r="F1038" s="109"/>
      <c r="G1038" s="109"/>
      <c r="H1038" s="109"/>
      <c r="I1038" s="109"/>
      <c r="J1038" s="109"/>
      <c r="K1038" s="23">
        <f>+K4+K168+K336+K448+K911</f>
        <v>0</v>
      </c>
      <c r="L1038" s="96"/>
    </row>
  </sheetData>
  <autoFilter xmlns:etc="http://www.wps.cn/officeDocument/2017/etCustomData" ref="A3:O1038" etc:filterBottomFollowUsedRange="0">
    <extLst/>
  </autoFilter>
  <mergeCells count="12">
    <mergeCell ref="A1:L1"/>
    <mergeCell ref="A2:A3"/>
    <mergeCell ref="B2:B3"/>
    <mergeCell ref="C2:C3"/>
    <mergeCell ref="D2:D3"/>
    <mergeCell ref="E2:E3"/>
    <mergeCell ref="F2:F3"/>
    <mergeCell ref="G2:G3"/>
    <mergeCell ref="H2:H3"/>
    <mergeCell ref="J2:J3"/>
    <mergeCell ref="K2:K3"/>
    <mergeCell ref="L2:L3"/>
  </mergeCells>
  <conditionalFormatting sqref="B5">
    <cfRule type="duplicateValues" dxfId="0" priority="449"/>
  </conditionalFormatting>
  <conditionalFormatting sqref="C5">
    <cfRule type="duplicateValues" dxfId="0" priority="440"/>
  </conditionalFormatting>
  <conditionalFormatting sqref="B6">
    <cfRule type="duplicateValues" dxfId="0" priority="446"/>
  </conditionalFormatting>
  <conditionalFormatting sqref="B8">
    <cfRule type="duplicateValues" dxfId="0" priority="426"/>
  </conditionalFormatting>
  <conditionalFormatting sqref="B10">
    <cfRule type="duplicateValues" dxfId="0" priority="425"/>
  </conditionalFormatting>
  <conditionalFormatting sqref="B11">
    <cfRule type="duplicateValues" dxfId="0" priority="441"/>
  </conditionalFormatting>
  <conditionalFormatting sqref="B17">
    <cfRule type="duplicateValues" dxfId="0" priority="242"/>
  </conditionalFormatting>
  <conditionalFormatting sqref="B20">
    <cfRule type="duplicateValues" dxfId="0" priority="243"/>
  </conditionalFormatting>
  <conditionalFormatting sqref="B22">
    <cfRule type="duplicateValues" dxfId="0" priority="244"/>
  </conditionalFormatting>
  <conditionalFormatting sqref="B28">
    <cfRule type="duplicateValues" dxfId="0" priority="443"/>
  </conditionalFormatting>
  <conditionalFormatting sqref="B29">
    <cfRule type="duplicateValues" dxfId="0" priority="439"/>
  </conditionalFormatting>
  <conditionalFormatting sqref="B37">
    <cfRule type="duplicateValues" dxfId="0" priority="438"/>
  </conditionalFormatting>
  <conditionalFormatting sqref="C37">
    <cfRule type="duplicateValues" dxfId="0" priority="429"/>
  </conditionalFormatting>
  <conditionalFormatting sqref="B38">
    <cfRule type="duplicateValues" dxfId="0" priority="435"/>
  </conditionalFormatting>
  <conditionalFormatting sqref="B42">
    <cfRule type="duplicateValues" dxfId="0" priority="430"/>
  </conditionalFormatting>
  <conditionalFormatting sqref="B43">
    <cfRule type="duplicateValues" dxfId="0" priority="437"/>
  </conditionalFormatting>
  <conditionalFormatting sqref="B46">
    <cfRule type="duplicateValues" dxfId="0" priority="240"/>
  </conditionalFormatting>
  <conditionalFormatting sqref="B47">
    <cfRule type="duplicateValues" dxfId="0" priority="239"/>
  </conditionalFormatting>
  <conditionalFormatting sqref="B48">
    <cfRule type="duplicateValues" dxfId="0" priority="238"/>
  </conditionalFormatting>
  <conditionalFormatting sqref="B54">
    <cfRule type="duplicateValues" dxfId="0" priority="428"/>
  </conditionalFormatting>
  <conditionalFormatting sqref="B61">
    <cfRule type="duplicateValues" dxfId="0" priority="424"/>
  </conditionalFormatting>
  <conditionalFormatting sqref="C61">
    <cfRule type="duplicateValues" dxfId="0" priority="415"/>
  </conditionalFormatting>
  <conditionalFormatting sqref="B62">
    <cfRule type="duplicateValues" dxfId="0" priority="421"/>
  </conditionalFormatting>
  <conditionalFormatting sqref="B63">
    <cfRule type="duplicateValues" dxfId="0" priority="417"/>
  </conditionalFormatting>
  <conditionalFormatting sqref="B64">
    <cfRule type="duplicateValues" dxfId="0" priority="416"/>
  </conditionalFormatting>
  <conditionalFormatting sqref="B65">
    <cfRule type="duplicateValues" dxfId="0" priority="423"/>
  </conditionalFormatting>
  <conditionalFormatting sqref="B68">
    <cfRule type="duplicateValues" dxfId="0" priority="235"/>
  </conditionalFormatting>
  <conditionalFormatting sqref="B71">
    <cfRule type="duplicateValues" dxfId="0" priority="233"/>
  </conditionalFormatting>
  <conditionalFormatting sqref="B77">
    <cfRule type="duplicateValues" dxfId="0" priority="414"/>
  </conditionalFormatting>
  <conditionalFormatting sqref="B84">
    <cfRule type="duplicateValues" dxfId="0" priority="413"/>
  </conditionalFormatting>
  <conditionalFormatting sqref="C84">
    <cfRule type="duplicateValues" dxfId="0" priority="404"/>
  </conditionalFormatting>
  <conditionalFormatting sqref="B85">
    <cfRule type="duplicateValues" dxfId="0" priority="410"/>
  </conditionalFormatting>
  <conditionalFormatting sqref="B89">
    <cfRule type="duplicateValues" dxfId="0" priority="405"/>
  </conditionalFormatting>
  <conditionalFormatting sqref="B90">
    <cfRule type="duplicateValues" dxfId="0" priority="412"/>
  </conditionalFormatting>
  <conditionalFormatting sqref="B95">
    <cfRule type="duplicateValues" dxfId="0" priority="228"/>
  </conditionalFormatting>
  <conditionalFormatting sqref="B96">
    <cfRule type="duplicateValues" dxfId="0" priority="229"/>
  </conditionalFormatting>
  <conditionalFormatting sqref="B101">
    <cfRule type="duplicateValues" dxfId="0" priority="407"/>
  </conditionalFormatting>
  <conditionalFormatting sqref="B102">
    <cfRule type="duplicateValues" dxfId="0" priority="403"/>
  </conditionalFormatting>
  <conditionalFormatting sqref="B109">
    <cfRule type="duplicateValues" dxfId="0" priority="226"/>
  </conditionalFormatting>
  <conditionalFormatting sqref="B110">
    <cfRule type="duplicateValues" dxfId="0" priority="224"/>
  </conditionalFormatting>
  <conditionalFormatting sqref="B111">
    <cfRule type="duplicateValues" dxfId="0" priority="402"/>
  </conditionalFormatting>
  <conditionalFormatting sqref="C111">
    <cfRule type="duplicateValues" dxfId="0" priority="393"/>
  </conditionalFormatting>
  <conditionalFormatting sqref="B112">
    <cfRule type="duplicateValues" dxfId="0" priority="399"/>
  </conditionalFormatting>
  <conditionalFormatting sqref="B115">
    <cfRule type="duplicateValues" dxfId="0" priority="394"/>
  </conditionalFormatting>
  <conditionalFormatting sqref="B116">
    <cfRule type="duplicateValues" dxfId="0" priority="401"/>
  </conditionalFormatting>
  <conditionalFormatting sqref="B118">
    <cfRule type="duplicateValues" dxfId="0" priority="221"/>
  </conditionalFormatting>
  <conditionalFormatting sqref="B121">
    <cfRule type="duplicateValues" dxfId="0" priority="396"/>
  </conditionalFormatting>
  <conditionalFormatting sqref="B122">
    <cfRule type="duplicateValues" dxfId="0" priority="392"/>
  </conditionalFormatting>
  <conditionalFormatting sqref="B123">
    <cfRule type="duplicateValues" dxfId="0" priority="397"/>
  </conditionalFormatting>
  <conditionalFormatting sqref="B125">
    <cfRule type="duplicateValues" dxfId="0" priority="398"/>
  </conditionalFormatting>
  <conditionalFormatting sqref="B126">
    <cfRule type="duplicateValues" dxfId="0" priority="391"/>
  </conditionalFormatting>
  <conditionalFormatting sqref="C126">
    <cfRule type="duplicateValues" dxfId="0" priority="382"/>
  </conditionalFormatting>
  <conditionalFormatting sqref="B127">
    <cfRule type="duplicateValues" dxfId="0" priority="388"/>
  </conditionalFormatting>
  <conditionalFormatting sqref="B131">
    <cfRule type="duplicateValues" dxfId="0" priority="383"/>
  </conditionalFormatting>
  <conditionalFormatting sqref="B132">
    <cfRule type="duplicateValues" dxfId="0" priority="390"/>
  </conditionalFormatting>
  <conditionalFormatting sqref="B138">
    <cfRule type="duplicateValues" dxfId="0" priority="218"/>
  </conditionalFormatting>
  <conditionalFormatting sqref="B146">
    <cfRule type="duplicateValues" dxfId="0" priority="386"/>
  </conditionalFormatting>
  <conditionalFormatting sqref="B147">
    <cfRule type="duplicateValues" dxfId="0" priority="381"/>
  </conditionalFormatting>
  <conditionalFormatting sqref="B149">
    <cfRule type="duplicateValues" dxfId="0" priority="387"/>
  </conditionalFormatting>
  <conditionalFormatting sqref="B150">
    <cfRule type="duplicateValues" dxfId="0" priority="212"/>
  </conditionalFormatting>
  <conditionalFormatting sqref="B151">
    <cfRule type="duplicateValues" dxfId="0" priority="380"/>
  </conditionalFormatting>
  <conditionalFormatting sqref="C151">
    <cfRule type="duplicateValues" dxfId="0" priority="371"/>
  </conditionalFormatting>
  <conditionalFormatting sqref="B152">
    <cfRule type="duplicateValues" dxfId="0" priority="377"/>
  </conditionalFormatting>
  <conditionalFormatting sqref="B153">
    <cfRule type="duplicateValues" dxfId="0" priority="373"/>
  </conditionalFormatting>
  <conditionalFormatting sqref="B154">
    <cfRule type="duplicateValues" dxfId="0" priority="372"/>
  </conditionalFormatting>
  <conditionalFormatting sqref="B155">
    <cfRule type="duplicateValues" dxfId="0" priority="379"/>
  </conditionalFormatting>
  <conditionalFormatting sqref="B158">
    <cfRule type="duplicateValues" dxfId="0" priority="214"/>
  </conditionalFormatting>
  <conditionalFormatting sqref="B162">
    <cfRule type="duplicateValues" dxfId="0" priority="374"/>
  </conditionalFormatting>
  <conditionalFormatting sqref="B163">
    <cfRule type="duplicateValues" dxfId="0" priority="370"/>
  </conditionalFormatting>
  <conditionalFormatting sqref="B165">
    <cfRule type="duplicateValues" dxfId="0" priority="112"/>
  </conditionalFormatting>
  <conditionalFormatting sqref="C165">
    <cfRule type="duplicateValues" dxfId="0" priority="111"/>
  </conditionalFormatting>
  <conditionalFormatting sqref="B166">
    <cfRule type="duplicateValues" dxfId="0" priority="110"/>
  </conditionalFormatting>
  <conditionalFormatting sqref="B167">
    <cfRule type="duplicateValues" dxfId="0" priority="109"/>
  </conditionalFormatting>
  <conditionalFormatting sqref="B169">
    <cfRule type="duplicateValues" dxfId="0" priority="369"/>
  </conditionalFormatting>
  <conditionalFormatting sqref="C169">
    <cfRule type="duplicateValues" dxfId="0" priority="361"/>
  </conditionalFormatting>
  <conditionalFormatting sqref="B170">
    <cfRule type="duplicateValues" dxfId="0" priority="366"/>
  </conditionalFormatting>
  <conditionalFormatting sqref="B171">
    <cfRule type="duplicateValues" dxfId="0" priority="363"/>
  </conditionalFormatting>
  <conditionalFormatting sqref="B174">
    <cfRule type="duplicateValues" dxfId="0" priority="368"/>
  </conditionalFormatting>
  <conditionalFormatting sqref="B177">
    <cfRule type="duplicateValues" dxfId="0" priority="208"/>
  </conditionalFormatting>
  <conditionalFormatting sqref="B178">
    <cfRule type="duplicateValues" dxfId="0" priority="207"/>
  </conditionalFormatting>
  <conditionalFormatting sqref="B182">
    <cfRule type="duplicateValues" dxfId="0" priority="205"/>
  </conditionalFormatting>
  <conditionalFormatting sqref="B189">
    <cfRule type="duplicateValues" dxfId="0" priority="360"/>
  </conditionalFormatting>
  <conditionalFormatting sqref="B192">
    <cfRule type="duplicateValues" dxfId="0" priority="200"/>
  </conditionalFormatting>
  <conditionalFormatting sqref="B195">
    <cfRule type="duplicateValues" dxfId="0" priority="359"/>
  </conditionalFormatting>
  <conditionalFormatting sqref="C195">
    <cfRule type="duplicateValues" dxfId="0" priority="351"/>
  </conditionalFormatting>
  <conditionalFormatting sqref="B196">
    <cfRule type="duplicateValues" dxfId="0" priority="356"/>
  </conditionalFormatting>
  <conditionalFormatting sqref="B197">
    <cfRule type="duplicateValues" dxfId="0" priority="353"/>
  </conditionalFormatting>
  <conditionalFormatting sqref="B198">
    <cfRule type="duplicateValues" dxfId="0" priority="352"/>
  </conditionalFormatting>
  <conditionalFormatting sqref="B199">
    <cfRule type="duplicateValues" dxfId="0" priority="358"/>
  </conditionalFormatting>
  <conditionalFormatting sqref="B200">
    <cfRule type="duplicateValues" dxfId="0" priority="203"/>
  </conditionalFormatting>
  <conditionalFormatting sqref="B201">
    <cfRule type="duplicateValues" dxfId="0" priority="201"/>
  </conditionalFormatting>
  <conditionalFormatting sqref="B205">
    <cfRule type="duplicateValues" dxfId="0" priority="354"/>
  </conditionalFormatting>
  <conditionalFormatting sqref="B206">
    <cfRule type="duplicateValues" dxfId="0" priority="350"/>
  </conditionalFormatting>
  <conditionalFormatting sqref="B208">
    <cfRule type="duplicateValues" dxfId="0" priority="349"/>
  </conditionalFormatting>
  <conditionalFormatting sqref="C208">
    <cfRule type="duplicateValues" dxfId="0" priority="341"/>
  </conditionalFormatting>
  <conditionalFormatting sqref="B209">
    <cfRule type="duplicateValues" dxfId="0" priority="346"/>
  </conditionalFormatting>
  <conditionalFormatting sqref="B213">
    <cfRule type="duplicateValues" dxfId="0" priority="337"/>
  </conditionalFormatting>
  <conditionalFormatting sqref="B216">
    <cfRule type="duplicateValues" dxfId="0" priority="338"/>
  </conditionalFormatting>
  <conditionalFormatting sqref="B223">
    <cfRule type="duplicateValues" dxfId="0" priority="340"/>
  </conditionalFormatting>
  <conditionalFormatting sqref="B225">
    <cfRule type="duplicateValues" dxfId="0" priority="334"/>
  </conditionalFormatting>
  <conditionalFormatting sqref="C225">
    <cfRule type="duplicateValues" dxfId="0" priority="326"/>
  </conditionalFormatting>
  <conditionalFormatting sqref="B226">
    <cfRule type="duplicateValues" dxfId="0" priority="331"/>
  </conditionalFormatting>
  <conditionalFormatting sqref="B230">
    <cfRule type="duplicateValues" dxfId="0" priority="327"/>
  </conditionalFormatting>
  <conditionalFormatting sqref="B233">
    <cfRule type="duplicateValues" dxfId="0" priority="199"/>
  </conditionalFormatting>
  <conditionalFormatting sqref="B234">
    <cfRule type="duplicateValues" dxfId="0" priority="197"/>
  </conditionalFormatting>
  <conditionalFormatting sqref="B235">
    <cfRule type="duplicateValues" dxfId="0" priority="198"/>
  </conditionalFormatting>
  <conditionalFormatting sqref="B240">
    <cfRule type="duplicateValues" dxfId="0" priority="325"/>
  </conditionalFormatting>
  <conditionalFormatting sqref="B242">
    <cfRule type="duplicateValues" dxfId="0" priority="196"/>
  </conditionalFormatting>
  <conditionalFormatting sqref="B243">
    <cfRule type="duplicateValues" dxfId="0" priority="324"/>
  </conditionalFormatting>
  <conditionalFormatting sqref="C243">
    <cfRule type="duplicateValues" dxfId="0" priority="316"/>
  </conditionalFormatting>
  <conditionalFormatting sqref="B244">
    <cfRule type="duplicateValues" dxfId="0" priority="321"/>
  </conditionalFormatting>
  <conditionalFormatting sqref="B249">
    <cfRule type="duplicateValues" dxfId="0" priority="323"/>
  </conditionalFormatting>
  <conditionalFormatting sqref="B254">
    <cfRule type="duplicateValues" dxfId="0" priority="193"/>
  </conditionalFormatting>
  <conditionalFormatting sqref="B255">
    <cfRule type="duplicateValues" dxfId="0" priority="194"/>
  </conditionalFormatting>
  <conditionalFormatting sqref="B263">
    <cfRule type="duplicateValues" dxfId="0" priority="315"/>
  </conditionalFormatting>
  <conditionalFormatting sqref="B265">
    <cfRule type="duplicateValues" dxfId="0" priority="191"/>
  </conditionalFormatting>
  <conditionalFormatting sqref="B266">
    <cfRule type="duplicateValues" dxfId="0" priority="192"/>
  </conditionalFormatting>
  <conditionalFormatting sqref="B267">
    <cfRule type="duplicateValues" dxfId="0" priority="190"/>
  </conditionalFormatting>
  <conditionalFormatting sqref="B268">
    <cfRule type="duplicateValues" dxfId="0" priority="314"/>
  </conditionalFormatting>
  <conditionalFormatting sqref="C268">
    <cfRule type="duplicateValues" dxfId="0" priority="306"/>
  </conditionalFormatting>
  <conditionalFormatting sqref="B269">
    <cfRule type="duplicateValues" dxfId="0" priority="311"/>
  </conditionalFormatting>
  <conditionalFormatting sqref="B274">
    <cfRule type="duplicateValues" dxfId="0" priority="313"/>
  </conditionalFormatting>
  <conditionalFormatting sqref="B278">
    <cfRule type="duplicateValues" dxfId="0" priority="187"/>
  </conditionalFormatting>
  <conditionalFormatting sqref="B286">
    <cfRule type="duplicateValues" dxfId="0" priority="305"/>
  </conditionalFormatting>
  <conditionalFormatting sqref="B288">
    <cfRule type="duplicateValues" dxfId="0" priority="186"/>
  </conditionalFormatting>
  <conditionalFormatting sqref="B289">
    <cfRule type="duplicateValues" dxfId="0" priority="304"/>
  </conditionalFormatting>
  <conditionalFormatting sqref="C289">
    <cfRule type="duplicateValues" dxfId="0" priority="296"/>
  </conditionalFormatting>
  <conditionalFormatting sqref="B290">
    <cfRule type="duplicateValues" dxfId="0" priority="301"/>
  </conditionalFormatting>
  <conditionalFormatting sqref="B293">
    <cfRule type="duplicateValues" dxfId="0" priority="297"/>
  </conditionalFormatting>
  <conditionalFormatting sqref="B294">
    <cfRule type="duplicateValues" dxfId="0" priority="303"/>
  </conditionalFormatting>
  <conditionalFormatting sqref="B295">
    <cfRule type="duplicateValues" dxfId="0" priority="185"/>
  </conditionalFormatting>
  <conditionalFormatting sqref="B296">
    <cfRule type="duplicateValues" dxfId="0" priority="184"/>
  </conditionalFormatting>
  <conditionalFormatting sqref="B297">
    <cfRule type="duplicateValues" dxfId="0" priority="182"/>
  </conditionalFormatting>
  <conditionalFormatting sqref="B301">
    <cfRule type="duplicateValues" dxfId="0" priority="299"/>
  </conditionalFormatting>
  <conditionalFormatting sqref="B302">
    <cfRule type="duplicateValues" dxfId="0" priority="295"/>
  </conditionalFormatting>
  <conditionalFormatting sqref="B304">
    <cfRule type="duplicateValues" dxfId="0" priority="300"/>
  </conditionalFormatting>
  <conditionalFormatting sqref="B305">
    <cfRule type="duplicateValues" dxfId="0" priority="294"/>
  </conditionalFormatting>
  <conditionalFormatting sqref="C305">
    <cfRule type="duplicateValues" dxfId="0" priority="286"/>
  </conditionalFormatting>
  <conditionalFormatting sqref="B306">
    <cfRule type="duplicateValues" dxfId="0" priority="291"/>
  </conditionalFormatting>
  <conditionalFormatting sqref="B310">
    <cfRule type="duplicateValues" dxfId="0" priority="287"/>
  </conditionalFormatting>
  <conditionalFormatting sqref="B311">
    <cfRule type="duplicateValues" dxfId="0" priority="293"/>
  </conditionalFormatting>
  <conditionalFormatting sqref="B317">
    <cfRule type="duplicateValues" dxfId="0" priority="179"/>
  </conditionalFormatting>
  <conditionalFormatting sqref="B318">
    <cfRule type="duplicateValues" dxfId="0" priority="180"/>
  </conditionalFormatting>
  <conditionalFormatting sqref="B326">
    <cfRule type="duplicateValues" dxfId="0" priority="285"/>
  </conditionalFormatting>
  <conditionalFormatting sqref="B331">
    <cfRule type="duplicateValues" dxfId="0" priority="108"/>
  </conditionalFormatting>
  <conditionalFormatting sqref="C331">
    <cfRule type="duplicateValues" dxfId="0" priority="107"/>
  </conditionalFormatting>
  <conditionalFormatting sqref="B335">
    <cfRule type="duplicateValues" dxfId="0" priority="105"/>
  </conditionalFormatting>
  <conditionalFormatting sqref="B337">
    <cfRule type="duplicateValues" dxfId="0" priority="284"/>
  </conditionalFormatting>
  <conditionalFormatting sqref="C337">
    <cfRule type="duplicateValues" dxfId="0" priority="276"/>
  </conditionalFormatting>
  <conditionalFormatting sqref="B338">
    <cfRule type="duplicateValues" dxfId="0" priority="281"/>
  </conditionalFormatting>
  <conditionalFormatting sqref="B343">
    <cfRule type="duplicateValues" dxfId="0" priority="277"/>
  </conditionalFormatting>
  <conditionalFormatting sqref="B351">
    <cfRule type="duplicateValues" dxfId="0" priority="172"/>
  </conditionalFormatting>
  <conditionalFormatting sqref="B352">
    <cfRule type="duplicateValues" dxfId="0" priority="174"/>
  </conditionalFormatting>
  <conditionalFormatting sqref="B353">
    <cfRule type="duplicateValues" dxfId="0" priority="173"/>
  </conditionalFormatting>
  <conditionalFormatting sqref="B354">
    <cfRule type="duplicateValues" dxfId="0" priority="176"/>
  </conditionalFormatting>
  <conditionalFormatting sqref="B361">
    <cfRule type="duplicateValues" dxfId="0" priority="275"/>
  </conditionalFormatting>
  <conditionalFormatting sqref="B363">
    <cfRule type="duplicateValues" dxfId="0" priority="171"/>
  </conditionalFormatting>
  <conditionalFormatting sqref="B364">
    <cfRule type="duplicateValues" dxfId="0" priority="274"/>
  </conditionalFormatting>
  <conditionalFormatting sqref="C364">
    <cfRule type="duplicateValues" dxfId="0" priority="266"/>
  </conditionalFormatting>
  <conditionalFormatting sqref="B365">
    <cfRule type="duplicateValues" dxfId="0" priority="271"/>
  </conditionalFormatting>
  <conditionalFormatting sqref="B370">
    <cfRule type="duplicateValues" dxfId="0" priority="267"/>
  </conditionalFormatting>
  <conditionalFormatting sqref="B371">
    <cfRule type="duplicateValues" dxfId="0" priority="273"/>
  </conditionalFormatting>
  <conditionalFormatting sqref="B378">
    <cfRule type="duplicateValues" dxfId="0" priority="165"/>
  </conditionalFormatting>
  <conditionalFormatting sqref="B379">
    <cfRule type="duplicateValues" dxfId="0" priority="167"/>
  </conditionalFormatting>
  <conditionalFormatting sqref="B380">
    <cfRule type="duplicateValues" dxfId="0" priority="166"/>
  </conditionalFormatting>
  <conditionalFormatting sqref="B381">
    <cfRule type="duplicateValues" dxfId="0" priority="169"/>
  </conditionalFormatting>
  <conditionalFormatting sqref="B382">
    <cfRule type="duplicateValues" dxfId="0" priority="168"/>
  </conditionalFormatting>
  <conditionalFormatting sqref="B383">
    <cfRule type="duplicateValues" dxfId="0" priority="134"/>
  </conditionalFormatting>
  <conditionalFormatting sqref="B388">
    <cfRule type="duplicateValues" dxfId="0" priority="265"/>
  </conditionalFormatting>
  <conditionalFormatting sqref="B390">
    <cfRule type="duplicateValues" dxfId="0" priority="164"/>
  </conditionalFormatting>
  <conditionalFormatting sqref="B391">
    <cfRule type="duplicateValues" dxfId="0" priority="264"/>
  </conditionalFormatting>
  <conditionalFormatting sqref="C391">
    <cfRule type="duplicateValues" dxfId="0" priority="256"/>
  </conditionalFormatting>
  <conditionalFormatting sqref="B392">
    <cfRule type="duplicateValues" dxfId="0" priority="261"/>
  </conditionalFormatting>
  <conditionalFormatting sqref="B397">
    <cfRule type="duplicateValues" dxfId="0" priority="257"/>
  </conditionalFormatting>
  <conditionalFormatting sqref="B398">
    <cfRule type="duplicateValues" dxfId="0" priority="263"/>
  </conditionalFormatting>
  <conditionalFormatting sqref="B405">
    <cfRule type="duplicateValues" dxfId="0" priority="158"/>
  </conditionalFormatting>
  <conditionalFormatting sqref="B406">
    <cfRule type="duplicateValues" dxfId="0" priority="160"/>
  </conditionalFormatting>
  <conditionalFormatting sqref="B407">
    <cfRule type="duplicateValues" dxfId="0" priority="159"/>
  </conditionalFormatting>
  <conditionalFormatting sqref="B408">
    <cfRule type="duplicateValues" dxfId="0" priority="162"/>
  </conditionalFormatting>
  <conditionalFormatting sqref="B409">
    <cfRule type="duplicateValues" dxfId="0" priority="161"/>
  </conditionalFormatting>
  <conditionalFormatting sqref="B410">
    <cfRule type="duplicateValues" dxfId="0" priority="133"/>
  </conditionalFormatting>
  <conditionalFormatting sqref="B415">
    <cfRule type="duplicateValues" dxfId="0" priority="255"/>
  </conditionalFormatting>
  <conditionalFormatting sqref="B417">
    <cfRule type="duplicateValues" dxfId="0" priority="157"/>
  </conditionalFormatting>
  <conditionalFormatting sqref="B418">
    <cfRule type="duplicateValues" dxfId="0" priority="254"/>
  </conditionalFormatting>
  <conditionalFormatting sqref="C418">
    <cfRule type="duplicateValues" dxfId="0" priority="246"/>
  </conditionalFormatting>
  <conditionalFormatting sqref="B419">
    <cfRule type="duplicateValues" dxfId="0" priority="251"/>
  </conditionalFormatting>
  <conditionalFormatting sqref="B424">
    <cfRule type="duplicateValues" dxfId="0" priority="247"/>
  </conditionalFormatting>
  <conditionalFormatting sqref="B425">
    <cfRule type="duplicateValues" dxfId="0" priority="253"/>
  </conditionalFormatting>
  <conditionalFormatting sqref="B432">
    <cfRule type="duplicateValues" dxfId="0" priority="151"/>
  </conditionalFormatting>
  <conditionalFormatting sqref="B433">
    <cfRule type="duplicateValues" dxfId="0" priority="153"/>
  </conditionalFormatting>
  <conditionalFormatting sqref="B434">
    <cfRule type="duplicateValues" dxfId="0" priority="152"/>
  </conditionalFormatting>
  <conditionalFormatting sqref="B435">
    <cfRule type="duplicateValues" dxfId="0" priority="155"/>
  </conditionalFormatting>
  <conditionalFormatting sqref="B436">
    <cfRule type="duplicateValues" dxfId="0" priority="154"/>
  </conditionalFormatting>
  <conditionalFormatting sqref="B437">
    <cfRule type="duplicateValues" dxfId="0" priority="132"/>
  </conditionalFormatting>
  <conditionalFormatting sqref="B442">
    <cfRule type="duplicateValues" dxfId="0" priority="245"/>
  </conditionalFormatting>
  <conditionalFormatting sqref="B444">
    <cfRule type="duplicateValues" dxfId="0" priority="150"/>
  </conditionalFormatting>
  <conditionalFormatting sqref="B445">
    <cfRule type="duplicateValues" dxfId="0" priority="104"/>
  </conditionalFormatting>
  <conditionalFormatting sqref="C445">
    <cfRule type="duplicateValues" dxfId="0" priority="103"/>
  </conditionalFormatting>
  <conditionalFormatting sqref="B453">
    <cfRule type="duplicateValues" dxfId="0" priority="666"/>
  </conditionalFormatting>
  <conditionalFormatting sqref="B454">
    <cfRule type="duplicateValues" dxfId="0" priority="665"/>
  </conditionalFormatting>
  <conditionalFormatting sqref="B468">
    <cfRule type="duplicateValues" dxfId="0" priority="1288"/>
  </conditionalFormatting>
  <conditionalFormatting sqref="B469">
    <cfRule type="duplicateValues" dxfId="0" priority="608"/>
  </conditionalFormatting>
  <conditionalFormatting sqref="B479">
    <cfRule type="duplicateValues" dxfId="0" priority="663"/>
  </conditionalFormatting>
  <conditionalFormatting sqref="B481">
    <cfRule type="duplicateValues" dxfId="0" priority="654"/>
  </conditionalFormatting>
  <conditionalFormatting sqref="B482">
    <cfRule type="duplicateValues" dxfId="0" priority="653"/>
  </conditionalFormatting>
  <conditionalFormatting sqref="B483">
    <cfRule type="duplicateValues" dxfId="0" priority="652"/>
  </conditionalFormatting>
  <conditionalFormatting sqref="B497">
    <cfRule type="duplicateValues" dxfId="0" priority="657"/>
  </conditionalFormatting>
  <conditionalFormatting sqref="B499">
    <cfRule type="duplicateValues" dxfId="0" priority="131"/>
  </conditionalFormatting>
  <conditionalFormatting sqref="B500">
    <cfRule type="duplicateValues" dxfId="0" priority="130"/>
  </conditionalFormatting>
  <conditionalFormatting sqref="B501">
    <cfRule type="duplicateValues" dxfId="0" priority="651"/>
  </conditionalFormatting>
  <conditionalFormatting sqref="B502">
    <cfRule type="duplicateValues" dxfId="0" priority="648"/>
  </conditionalFormatting>
  <conditionalFormatting sqref="B503">
    <cfRule type="duplicateValues" dxfId="0" priority="642"/>
  </conditionalFormatting>
  <conditionalFormatting sqref="B504">
    <cfRule type="duplicateValues" dxfId="0" priority="650"/>
  </conditionalFormatting>
  <conditionalFormatting sqref="B506">
    <cfRule type="duplicateValues" dxfId="0" priority="645"/>
  </conditionalFormatting>
  <conditionalFormatting sqref="B508">
    <cfRule type="duplicateValues" dxfId="0" priority="1388"/>
  </conditionalFormatting>
  <conditionalFormatting sqref="B509">
    <cfRule type="duplicateValues" dxfId="0" priority="1385"/>
  </conditionalFormatting>
  <conditionalFormatting sqref="B513">
    <cfRule type="duplicateValues" dxfId="0" priority="790"/>
  </conditionalFormatting>
  <conditionalFormatting sqref="B514">
    <cfRule type="duplicateValues" dxfId="0" priority="639"/>
  </conditionalFormatting>
  <conditionalFormatting sqref="B515">
    <cfRule type="duplicateValues" dxfId="0" priority="1281"/>
  </conditionalFormatting>
  <conditionalFormatting sqref="B516">
    <cfRule type="duplicateValues" dxfId="0" priority="1387"/>
  </conditionalFormatting>
  <conditionalFormatting sqref="B517">
    <cfRule type="duplicateValues" dxfId="0" priority="1277"/>
  </conditionalFormatting>
  <conditionalFormatting sqref="B525">
    <cfRule type="duplicateValues" dxfId="0" priority="1386"/>
  </conditionalFormatting>
  <conditionalFormatting sqref="B526">
    <cfRule type="duplicateValues" dxfId="0" priority="1270"/>
  </conditionalFormatting>
  <conditionalFormatting sqref="B527">
    <cfRule type="duplicateValues" dxfId="0" priority="1269"/>
  </conditionalFormatting>
  <conditionalFormatting sqref="B528">
    <cfRule type="duplicateValues" dxfId="0" priority="1268"/>
  </conditionalFormatting>
  <conditionalFormatting sqref="B529">
    <cfRule type="duplicateValues" dxfId="0" priority="470"/>
  </conditionalFormatting>
  <conditionalFormatting sqref="B530">
    <cfRule type="duplicateValues" dxfId="0" priority="1272"/>
  </conditionalFormatting>
  <conditionalFormatting sqref="B536">
    <cfRule type="duplicateValues" dxfId="0" priority="638"/>
  </conditionalFormatting>
  <conditionalFormatting sqref="B537">
    <cfRule type="duplicateValues" dxfId="0" priority="635"/>
  </conditionalFormatting>
  <conditionalFormatting sqref="B538">
    <cfRule type="duplicateValues" dxfId="0" priority="631"/>
  </conditionalFormatting>
  <conditionalFormatting sqref="B553">
    <cfRule type="duplicateValues" dxfId="0" priority="129"/>
  </conditionalFormatting>
  <conditionalFormatting sqref="B555">
    <cfRule type="duplicateValues" dxfId="0" priority="630"/>
  </conditionalFormatting>
  <conditionalFormatting sqref="B563">
    <cfRule type="duplicateValues" dxfId="0" priority="607"/>
  </conditionalFormatting>
  <conditionalFormatting sqref="B565">
    <cfRule type="duplicateValues" dxfId="0" priority="128"/>
  </conditionalFormatting>
  <conditionalFormatting sqref="B566">
    <cfRule type="duplicateValues" dxfId="0" priority="127"/>
  </conditionalFormatting>
  <conditionalFormatting sqref="B572">
    <cfRule type="duplicateValues" dxfId="0" priority="628"/>
  </conditionalFormatting>
  <conditionalFormatting sqref="B573">
    <cfRule type="duplicateValues" dxfId="0" priority="625"/>
  </conditionalFormatting>
  <conditionalFormatting sqref="B575">
    <cfRule type="duplicateValues" dxfId="0" priority="618"/>
  </conditionalFormatting>
  <conditionalFormatting sqref="B580">
    <cfRule type="duplicateValues" dxfId="0" priority="96"/>
  </conditionalFormatting>
  <conditionalFormatting sqref="B581">
    <cfRule type="duplicateValues" dxfId="0" priority="126"/>
  </conditionalFormatting>
  <conditionalFormatting sqref="B583">
    <cfRule type="duplicateValues" dxfId="0" priority="620"/>
  </conditionalFormatting>
  <conditionalFormatting sqref="B590">
    <cfRule type="duplicateValues" dxfId="0" priority="624"/>
  </conditionalFormatting>
  <conditionalFormatting sqref="B591">
    <cfRule type="duplicateValues" dxfId="0" priority="617"/>
  </conditionalFormatting>
  <conditionalFormatting sqref="B592">
    <cfRule type="duplicateValues" dxfId="0" priority="614"/>
  </conditionalFormatting>
  <conditionalFormatting sqref="B594">
    <cfRule type="duplicateValues" dxfId="0" priority="609"/>
  </conditionalFormatting>
  <conditionalFormatting sqref="B607">
    <cfRule type="duplicateValues" dxfId="0" priority="124"/>
  </conditionalFormatting>
  <conditionalFormatting sqref="B608">
    <cfRule type="duplicateValues" dxfId="0" priority="586"/>
  </conditionalFormatting>
  <conditionalFormatting sqref="B609">
    <cfRule type="duplicateValues" dxfId="0" priority="603"/>
  </conditionalFormatting>
  <conditionalFormatting sqref="B611">
    <cfRule type="duplicateValues" dxfId="0" priority="598"/>
  </conditionalFormatting>
  <conditionalFormatting sqref="B618">
    <cfRule type="duplicateValues" dxfId="0" priority="123"/>
  </conditionalFormatting>
  <conditionalFormatting sqref="B619">
    <cfRule type="duplicateValues" dxfId="0" priority="84"/>
  </conditionalFormatting>
  <conditionalFormatting sqref="B620">
    <cfRule type="duplicateValues" dxfId="0" priority="599"/>
  </conditionalFormatting>
  <conditionalFormatting sqref="B626">
    <cfRule type="duplicateValues" dxfId="0" priority="83"/>
  </conditionalFormatting>
  <conditionalFormatting sqref="B627">
    <cfRule type="duplicateValues" dxfId="0" priority="602"/>
  </conditionalFormatting>
  <conditionalFormatting sqref="B628">
    <cfRule type="duplicateValues" dxfId="0" priority="85"/>
  </conditionalFormatting>
  <conditionalFormatting sqref="B629">
    <cfRule type="duplicateValues" dxfId="0" priority="82"/>
  </conditionalFormatting>
  <conditionalFormatting sqref="B631">
    <cfRule type="duplicateValues" dxfId="0" priority="589"/>
  </conditionalFormatting>
  <conditionalFormatting sqref="B635">
    <cfRule type="duplicateValues" dxfId="0" priority="81"/>
  </conditionalFormatting>
  <conditionalFormatting sqref="B637">
    <cfRule type="duplicateValues" dxfId="0" priority="95"/>
  </conditionalFormatting>
  <conditionalFormatting sqref="B639">
    <cfRule type="duplicateValues" dxfId="0" priority="122"/>
  </conditionalFormatting>
  <conditionalFormatting sqref="B641">
    <cfRule type="duplicateValues" dxfId="0" priority="590"/>
  </conditionalFormatting>
  <conditionalFormatting sqref="B648">
    <cfRule type="duplicateValues" dxfId="0" priority="593"/>
  </conditionalFormatting>
  <conditionalFormatting sqref="B649">
    <cfRule type="duplicateValues" dxfId="0" priority="585"/>
  </conditionalFormatting>
  <conditionalFormatting sqref="B650">
    <cfRule type="duplicateValues" dxfId="0" priority="582"/>
  </conditionalFormatting>
  <conditionalFormatting sqref="B651">
    <cfRule type="duplicateValues" dxfId="0" priority="575"/>
  </conditionalFormatting>
  <conditionalFormatting sqref="B652">
    <cfRule type="duplicateValues" dxfId="0" priority="577"/>
  </conditionalFormatting>
  <conditionalFormatting sqref="B653">
    <cfRule type="duplicateValues" dxfId="0" priority="576"/>
  </conditionalFormatting>
  <conditionalFormatting sqref="B654">
    <cfRule type="duplicateValues" dxfId="0" priority="579"/>
  </conditionalFormatting>
  <conditionalFormatting sqref="B655">
    <cfRule type="duplicateValues" dxfId="0" priority="584"/>
  </conditionalFormatting>
  <conditionalFormatting sqref="B657">
    <cfRule type="duplicateValues" dxfId="0" priority="94"/>
  </conditionalFormatting>
  <conditionalFormatting sqref="B658">
    <cfRule type="duplicateValues" dxfId="0" priority="86"/>
  </conditionalFormatting>
  <conditionalFormatting sqref="B660">
    <cfRule type="duplicateValues" dxfId="0" priority="143"/>
  </conditionalFormatting>
  <conditionalFormatting sqref="B661">
    <cfRule type="duplicateValues" dxfId="0" priority="144"/>
  </conditionalFormatting>
  <conditionalFormatting sqref="B666">
    <cfRule type="duplicateValues" dxfId="0" priority="578"/>
  </conditionalFormatting>
  <conditionalFormatting sqref="B672">
    <cfRule type="duplicateValues" dxfId="0" priority="581"/>
  </conditionalFormatting>
  <conditionalFormatting sqref="B673">
    <cfRule type="duplicateValues" dxfId="0" priority="121"/>
  </conditionalFormatting>
  <conditionalFormatting sqref="B674">
    <cfRule type="duplicateValues" dxfId="0" priority="574"/>
  </conditionalFormatting>
  <conditionalFormatting sqref="B675">
    <cfRule type="duplicateValues" dxfId="0" priority="571"/>
  </conditionalFormatting>
  <conditionalFormatting sqref="B676">
    <cfRule type="duplicateValues" dxfId="0" priority="564"/>
  </conditionalFormatting>
  <conditionalFormatting sqref="B677">
    <cfRule type="duplicateValues" dxfId="0" priority="566"/>
  </conditionalFormatting>
  <conditionalFormatting sqref="B678">
    <cfRule type="duplicateValues" dxfId="0" priority="568"/>
  </conditionalFormatting>
  <conditionalFormatting sqref="B684">
    <cfRule type="duplicateValues" dxfId="0" priority="93"/>
  </conditionalFormatting>
  <conditionalFormatting sqref="B687">
    <cfRule type="duplicateValues" dxfId="0" priority="120"/>
  </conditionalFormatting>
  <conditionalFormatting sqref="B689">
    <cfRule type="duplicateValues" dxfId="0" priority="567"/>
  </conditionalFormatting>
  <conditionalFormatting sqref="B698">
    <cfRule type="duplicateValues" dxfId="0" priority="563"/>
  </conditionalFormatting>
  <conditionalFormatting sqref="B699">
    <cfRule type="duplicateValues" dxfId="0" priority="560"/>
  </conditionalFormatting>
  <conditionalFormatting sqref="B700">
    <cfRule type="duplicateValues" dxfId="0" priority="554"/>
  </conditionalFormatting>
  <conditionalFormatting sqref="B701">
    <cfRule type="duplicateValues" dxfId="0" priority="553"/>
  </conditionalFormatting>
  <conditionalFormatting sqref="B702">
    <cfRule type="duplicateValues" dxfId="0" priority="557"/>
  </conditionalFormatting>
  <conditionalFormatting sqref="B711">
    <cfRule type="duplicateValues" dxfId="0" priority="556"/>
  </conditionalFormatting>
  <conditionalFormatting sqref="B717">
    <cfRule type="duplicateValues" dxfId="0" priority="118"/>
  </conditionalFormatting>
  <conditionalFormatting sqref="B718">
    <cfRule type="duplicateValues" dxfId="0" priority="542"/>
  </conditionalFormatting>
  <conditionalFormatting sqref="B719">
    <cfRule type="duplicateValues" dxfId="0" priority="539"/>
  </conditionalFormatting>
  <conditionalFormatting sqref="B720">
    <cfRule type="duplicateValues" dxfId="0" priority="536"/>
  </conditionalFormatting>
  <conditionalFormatting sqref="B721">
    <cfRule type="duplicateValues" dxfId="0" priority="535"/>
  </conditionalFormatting>
  <conditionalFormatting sqref="B725">
    <cfRule type="duplicateValues" dxfId="0" priority="92"/>
  </conditionalFormatting>
  <conditionalFormatting sqref="B727">
    <cfRule type="duplicateValues" dxfId="0" priority="537"/>
  </conditionalFormatting>
  <conditionalFormatting sqref="B729">
    <cfRule type="duplicateValues" dxfId="0" priority="534"/>
  </conditionalFormatting>
  <conditionalFormatting sqref="B730">
    <cfRule type="duplicateValues" dxfId="0" priority="531"/>
  </conditionalFormatting>
  <conditionalFormatting sqref="B736">
    <cfRule type="duplicateValues" dxfId="0" priority="527"/>
  </conditionalFormatting>
  <conditionalFormatting sqref="B741">
    <cfRule type="duplicateValues" dxfId="0" priority="91"/>
  </conditionalFormatting>
  <conditionalFormatting sqref="B743">
    <cfRule type="duplicateValues" dxfId="0" priority="117"/>
  </conditionalFormatting>
  <conditionalFormatting sqref="B745">
    <cfRule type="duplicateValues" dxfId="0" priority="525"/>
  </conditionalFormatting>
  <conditionalFormatting sqref="B757">
    <cfRule type="duplicateValues" dxfId="0" priority="500"/>
  </conditionalFormatting>
  <conditionalFormatting sqref="B758">
    <cfRule type="duplicateValues" dxfId="0" priority="521"/>
  </conditionalFormatting>
  <conditionalFormatting sqref="B759">
    <cfRule type="duplicateValues" dxfId="0" priority="514"/>
  </conditionalFormatting>
  <conditionalFormatting sqref="B760">
    <cfRule type="duplicateValues" dxfId="0" priority="427"/>
  </conditionalFormatting>
  <conditionalFormatting sqref="B761">
    <cfRule type="duplicateValues" dxfId="0" priority="515"/>
  </conditionalFormatting>
  <conditionalFormatting sqref="B762">
    <cfRule type="duplicateValues" dxfId="0" priority="518"/>
  </conditionalFormatting>
  <conditionalFormatting sqref="B763">
    <cfRule type="duplicateValues" dxfId="0" priority="523"/>
  </conditionalFormatting>
  <conditionalFormatting sqref="B765">
    <cfRule type="duplicateValues" dxfId="0" priority="90"/>
  </conditionalFormatting>
  <conditionalFormatting sqref="B766">
    <cfRule type="duplicateValues" dxfId="0" priority="87"/>
  </conditionalFormatting>
  <conditionalFormatting sqref="B768">
    <cfRule type="duplicateValues" dxfId="0" priority="146"/>
  </conditionalFormatting>
  <conditionalFormatting sqref="B769">
    <cfRule type="duplicateValues" dxfId="0" priority="147"/>
  </conditionalFormatting>
  <conditionalFormatting sqref="B774">
    <cfRule type="duplicateValues" dxfId="0" priority="517"/>
  </conditionalFormatting>
  <conditionalFormatting sqref="B780">
    <cfRule type="duplicateValues" dxfId="0" priority="520"/>
  </conditionalFormatting>
  <conditionalFormatting sqref="B781">
    <cfRule type="duplicateValues" dxfId="0" priority="513"/>
  </conditionalFormatting>
  <conditionalFormatting sqref="C781">
    <cfRule type="duplicateValues" dxfId="0" priority="502"/>
  </conditionalFormatting>
  <conditionalFormatting sqref="B782">
    <cfRule type="duplicateValues" dxfId="0" priority="510"/>
  </conditionalFormatting>
  <conditionalFormatting sqref="B787">
    <cfRule type="duplicateValues" dxfId="0" priority="504"/>
  </conditionalFormatting>
  <conditionalFormatting sqref="B788">
    <cfRule type="duplicateValues" dxfId="0" priority="507"/>
  </conditionalFormatting>
  <conditionalFormatting sqref="B794">
    <cfRule type="duplicateValues" dxfId="0" priority="116"/>
  </conditionalFormatting>
  <conditionalFormatting sqref="B796">
    <cfRule type="duplicateValues" dxfId="0" priority="506"/>
  </conditionalFormatting>
  <conditionalFormatting sqref="B804">
    <cfRule type="duplicateValues" dxfId="0" priority="498"/>
  </conditionalFormatting>
  <conditionalFormatting sqref="C804">
    <cfRule type="duplicateValues" dxfId="0" priority="488"/>
  </conditionalFormatting>
  <conditionalFormatting sqref="B805">
    <cfRule type="duplicateValues" dxfId="0" priority="495"/>
  </conditionalFormatting>
  <conditionalFormatting sqref="B809">
    <cfRule type="duplicateValues" dxfId="0" priority="489"/>
  </conditionalFormatting>
  <conditionalFormatting sqref="B810">
    <cfRule type="duplicateValues" dxfId="0" priority="492"/>
  </conditionalFormatting>
  <conditionalFormatting sqref="B817">
    <cfRule type="duplicateValues" dxfId="0" priority="115"/>
  </conditionalFormatting>
  <conditionalFormatting sqref="B819">
    <cfRule type="duplicateValues" dxfId="0" priority="491"/>
  </conditionalFormatting>
  <conditionalFormatting sqref="B834">
    <cfRule type="duplicateValues" dxfId="0" priority="486"/>
  </conditionalFormatting>
  <conditionalFormatting sqref="B835">
    <cfRule type="duplicateValues" dxfId="0" priority="483"/>
  </conditionalFormatting>
  <conditionalFormatting sqref="B839">
    <cfRule type="duplicateValues" dxfId="0" priority="473"/>
  </conditionalFormatting>
  <conditionalFormatting sqref="B840">
    <cfRule type="duplicateValues" dxfId="0" priority="471"/>
  </conditionalFormatting>
  <conditionalFormatting sqref="B841">
    <cfRule type="duplicateValues" dxfId="0" priority="481"/>
  </conditionalFormatting>
  <conditionalFormatting sqref="B842">
    <cfRule type="duplicateValues" dxfId="0" priority="485"/>
  </conditionalFormatting>
  <conditionalFormatting sqref="B843">
    <cfRule type="duplicateValues" dxfId="0" priority="479"/>
  </conditionalFormatting>
  <conditionalFormatting sqref="B848">
    <cfRule type="duplicateValues" dxfId="0" priority="89"/>
  </conditionalFormatting>
  <conditionalFormatting sqref="B851">
    <cfRule type="duplicateValues" dxfId="0" priority="484"/>
  </conditionalFormatting>
  <conditionalFormatting sqref="B852">
    <cfRule type="duplicateValues" dxfId="0" priority="476"/>
  </conditionalFormatting>
  <conditionalFormatting sqref="B853">
    <cfRule type="duplicateValues" dxfId="0" priority="475"/>
  </conditionalFormatting>
  <conditionalFormatting sqref="B854">
    <cfRule type="duplicateValues" dxfId="0" priority="474"/>
  </conditionalFormatting>
  <conditionalFormatting sqref="B855">
    <cfRule type="duplicateValues" dxfId="0" priority="472"/>
  </conditionalFormatting>
  <conditionalFormatting sqref="B856">
    <cfRule type="duplicateValues" dxfId="0" priority="478"/>
  </conditionalFormatting>
  <conditionalFormatting sqref="B859">
    <cfRule type="duplicateValues" dxfId="0" priority="469"/>
  </conditionalFormatting>
  <conditionalFormatting sqref="B860">
    <cfRule type="duplicateValues" dxfId="0" priority="466"/>
  </conditionalFormatting>
  <conditionalFormatting sqref="B868">
    <cfRule type="duplicateValues" dxfId="0" priority="88"/>
  </conditionalFormatting>
  <conditionalFormatting sqref="B869">
    <cfRule type="duplicateValues" dxfId="0" priority="114"/>
  </conditionalFormatting>
  <conditionalFormatting sqref="B871">
    <cfRule type="duplicateValues" dxfId="0" priority="464"/>
  </conditionalFormatting>
  <conditionalFormatting sqref="B876">
    <cfRule type="duplicateValues" dxfId="0" priority="461"/>
  </conditionalFormatting>
  <conditionalFormatting sqref="C876">
    <cfRule type="duplicateValues" dxfId="0" priority="451"/>
  </conditionalFormatting>
  <conditionalFormatting sqref="B877">
    <cfRule type="duplicateValues" dxfId="0" priority="458"/>
  </conditionalFormatting>
  <conditionalFormatting sqref="B881">
    <cfRule type="duplicateValues" dxfId="0" priority="452"/>
  </conditionalFormatting>
  <conditionalFormatting sqref="B892">
    <cfRule type="duplicateValues" dxfId="0" priority="454"/>
  </conditionalFormatting>
  <conditionalFormatting sqref="B906">
    <cfRule type="duplicateValues" dxfId="0" priority="100"/>
  </conditionalFormatting>
  <conditionalFormatting sqref="C906">
    <cfRule type="duplicateValues" dxfId="0" priority="99"/>
  </conditionalFormatting>
  <conditionalFormatting sqref="B910">
    <cfRule type="duplicateValues" dxfId="0" priority="97"/>
  </conditionalFormatting>
  <conditionalFormatting sqref="B911">
    <cfRule type="duplicateValues" dxfId="0" priority="80"/>
  </conditionalFormatting>
  <conditionalFormatting sqref="B912">
    <cfRule type="duplicateValues" dxfId="0" priority="79"/>
  </conditionalFormatting>
  <conditionalFormatting sqref="B913">
    <cfRule type="duplicateValues" dxfId="0" priority="76"/>
  </conditionalFormatting>
  <conditionalFormatting sqref="B916">
    <cfRule type="duplicateValues" dxfId="0" priority="71"/>
  </conditionalFormatting>
  <conditionalFormatting sqref="B918">
    <cfRule type="duplicateValues" dxfId="0" priority="70"/>
  </conditionalFormatting>
  <conditionalFormatting sqref="B925">
    <cfRule type="duplicateValues" dxfId="0" priority="74"/>
  </conditionalFormatting>
  <conditionalFormatting sqref="B926">
    <cfRule type="duplicateValues" dxfId="0" priority="68"/>
  </conditionalFormatting>
  <conditionalFormatting sqref="B933">
    <cfRule type="duplicateValues" dxfId="0" priority="67"/>
  </conditionalFormatting>
  <conditionalFormatting sqref="B934">
    <cfRule type="duplicateValues" dxfId="0" priority="75"/>
  </conditionalFormatting>
  <conditionalFormatting sqref="B935">
    <cfRule type="duplicateValues" dxfId="0" priority="66"/>
  </conditionalFormatting>
  <conditionalFormatting sqref="B936">
    <cfRule type="duplicateValues" dxfId="0" priority="65"/>
  </conditionalFormatting>
  <conditionalFormatting sqref="B941">
    <cfRule type="duplicateValues" dxfId="0" priority="63"/>
  </conditionalFormatting>
  <conditionalFormatting sqref="B942">
    <cfRule type="duplicateValues" dxfId="0" priority="62"/>
  </conditionalFormatting>
  <conditionalFormatting sqref="B943">
    <cfRule type="duplicateValues" dxfId="0" priority="56"/>
  </conditionalFormatting>
  <conditionalFormatting sqref="B949">
    <cfRule type="duplicateValues" dxfId="0" priority="61"/>
  </conditionalFormatting>
  <conditionalFormatting sqref="B950">
    <cfRule type="duplicateValues" dxfId="0" priority="60"/>
  </conditionalFormatting>
  <conditionalFormatting sqref="B954">
    <cfRule type="duplicateValues" dxfId="0" priority="55"/>
  </conditionalFormatting>
  <conditionalFormatting sqref="B955">
    <cfRule type="duplicateValues" dxfId="0" priority="54"/>
  </conditionalFormatting>
  <conditionalFormatting sqref="B961">
    <cfRule type="duplicateValues" dxfId="0" priority="52"/>
  </conditionalFormatting>
  <conditionalFormatting sqref="B962">
    <cfRule type="duplicateValues" dxfId="0" priority="51"/>
  </conditionalFormatting>
  <conditionalFormatting sqref="B963">
    <cfRule type="duplicateValues" dxfId="0" priority="50"/>
  </conditionalFormatting>
  <conditionalFormatting sqref="B964">
    <cfRule type="duplicateValues" dxfId="0" priority="49"/>
  </conditionalFormatting>
  <conditionalFormatting sqref="B965">
    <cfRule type="duplicateValues" dxfId="0" priority="48"/>
  </conditionalFormatting>
  <conditionalFormatting sqref="B966">
    <cfRule type="duplicateValues" dxfId="0" priority="44"/>
  </conditionalFormatting>
  <conditionalFormatting sqref="B967">
    <cfRule type="duplicateValues" dxfId="0" priority="43"/>
  </conditionalFormatting>
  <conditionalFormatting sqref="B968">
    <cfRule type="duplicateValues" dxfId="0" priority="41"/>
  </conditionalFormatting>
  <conditionalFormatting sqref="B969">
    <cfRule type="duplicateValues" dxfId="0" priority="47"/>
  </conditionalFormatting>
  <conditionalFormatting sqref="B970">
    <cfRule type="duplicateValues" dxfId="0" priority="46"/>
  </conditionalFormatting>
  <conditionalFormatting sqref="B971">
    <cfRule type="duplicateValues" dxfId="0" priority="45"/>
  </conditionalFormatting>
  <conditionalFormatting sqref="B972">
    <cfRule type="duplicateValues" dxfId="0" priority="42"/>
  </conditionalFormatting>
  <conditionalFormatting sqref="B973">
    <cfRule type="duplicateValues" dxfId="0" priority="40"/>
  </conditionalFormatting>
  <conditionalFormatting sqref="B974">
    <cfRule type="duplicateValues" dxfId="0" priority="39"/>
  </conditionalFormatting>
  <conditionalFormatting sqref="B975">
    <cfRule type="duplicateValues" dxfId="0" priority="38"/>
  </conditionalFormatting>
  <conditionalFormatting sqref="B976">
    <cfRule type="duplicateValues" dxfId="0" priority="37"/>
  </conditionalFormatting>
  <conditionalFormatting sqref="B977">
    <cfRule type="duplicateValues" dxfId="0" priority="36"/>
  </conditionalFormatting>
  <conditionalFormatting sqref="B978">
    <cfRule type="duplicateValues" dxfId="0" priority="35"/>
  </conditionalFormatting>
  <conditionalFormatting sqref="B979">
    <cfRule type="duplicateValues" dxfId="0" priority="33"/>
  </conditionalFormatting>
  <conditionalFormatting sqref="B984">
    <cfRule type="duplicateValues" dxfId="0" priority="24"/>
  </conditionalFormatting>
  <conditionalFormatting sqref="B985">
    <cfRule type="duplicateValues" dxfId="0" priority="32"/>
  </conditionalFormatting>
  <conditionalFormatting sqref="B986">
    <cfRule type="duplicateValues" dxfId="0" priority="29"/>
  </conditionalFormatting>
  <conditionalFormatting sqref="B987">
    <cfRule type="duplicateValues" dxfId="0" priority="28"/>
  </conditionalFormatting>
  <conditionalFormatting sqref="B988">
    <cfRule type="duplicateValues" dxfId="0" priority="27"/>
  </conditionalFormatting>
  <conditionalFormatting sqref="B989">
    <cfRule type="duplicateValues" dxfId="0" priority="26"/>
  </conditionalFormatting>
  <conditionalFormatting sqref="B990">
    <cfRule type="duplicateValues" dxfId="0" priority="31"/>
  </conditionalFormatting>
  <conditionalFormatting sqref="B991">
    <cfRule type="duplicateValues" dxfId="0" priority="7"/>
  </conditionalFormatting>
  <conditionalFormatting sqref="B992">
    <cfRule type="duplicateValues" dxfId="0" priority="25"/>
  </conditionalFormatting>
  <conditionalFormatting sqref="B996">
    <cfRule type="duplicateValues" dxfId="0" priority="23"/>
  </conditionalFormatting>
  <conditionalFormatting sqref="B997">
    <cfRule type="duplicateValues" dxfId="0" priority="22"/>
  </conditionalFormatting>
  <conditionalFormatting sqref="B998">
    <cfRule type="duplicateValues" dxfId="0" priority="20"/>
  </conditionalFormatting>
  <conditionalFormatting sqref="B999">
    <cfRule type="duplicateValues" dxfId="0" priority="19"/>
  </conditionalFormatting>
  <conditionalFormatting sqref="B1000">
    <cfRule type="duplicateValues" dxfId="0" priority="21"/>
  </conditionalFormatting>
  <conditionalFormatting sqref="B1005">
    <cfRule type="duplicateValues" dxfId="0" priority="10"/>
  </conditionalFormatting>
  <conditionalFormatting sqref="B1006">
    <cfRule type="duplicateValues" dxfId="0" priority="9"/>
  </conditionalFormatting>
  <conditionalFormatting sqref="B1016">
    <cfRule type="duplicateValues" dxfId="0" priority="16"/>
  </conditionalFormatting>
  <conditionalFormatting sqref="B1017">
    <cfRule type="duplicateValues" dxfId="0" priority="13"/>
  </conditionalFormatting>
  <conditionalFormatting sqref="B1018">
    <cfRule type="duplicateValues" dxfId="0" priority="11"/>
  </conditionalFormatting>
  <conditionalFormatting sqref="B1019">
    <cfRule type="duplicateValues" dxfId="0" priority="12"/>
  </conditionalFormatting>
  <conditionalFormatting sqref="B1032">
    <cfRule type="duplicateValues" dxfId="0" priority="4"/>
  </conditionalFormatting>
  <conditionalFormatting sqref="C1032">
    <cfRule type="duplicateValues" dxfId="0" priority="3"/>
  </conditionalFormatting>
  <conditionalFormatting sqref="B1038">
    <cfRule type="duplicateValues" dxfId="0" priority="1293"/>
  </conditionalFormatting>
  <conditionalFormatting sqref="B30:B32">
    <cfRule type="duplicateValues" dxfId="0" priority="444"/>
  </conditionalFormatting>
  <conditionalFormatting sqref="B34:B36">
    <cfRule type="duplicateValues" dxfId="0" priority="445"/>
  </conditionalFormatting>
  <conditionalFormatting sqref="B39:B41">
    <cfRule type="duplicateValues" dxfId="0" priority="431"/>
  </conditionalFormatting>
  <conditionalFormatting sqref="B44:B45">
    <cfRule type="duplicateValues" dxfId="0" priority="241"/>
  </conditionalFormatting>
  <conditionalFormatting sqref="B49:B50">
    <cfRule type="duplicateValues" dxfId="0" priority="237"/>
  </conditionalFormatting>
  <conditionalFormatting sqref="B52:B53">
    <cfRule type="duplicateValues" dxfId="0" priority="432"/>
  </conditionalFormatting>
  <conditionalFormatting sqref="B55:B57">
    <cfRule type="duplicateValues" dxfId="0" priority="433"/>
  </conditionalFormatting>
  <conditionalFormatting sqref="B59:B60">
    <cfRule type="duplicateValues" dxfId="0" priority="231"/>
  </conditionalFormatting>
  <conditionalFormatting sqref="B66:B67">
    <cfRule type="duplicateValues" dxfId="0" priority="236"/>
  </conditionalFormatting>
  <conditionalFormatting sqref="B69:B70">
    <cfRule type="duplicateValues" dxfId="0" priority="234"/>
  </conditionalFormatting>
  <conditionalFormatting sqref="B72:B73">
    <cfRule type="duplicateValues" dxfId="0" priority="232"/>
  </conditionalFormatting>
  <conditionalFormatting sqref="B75:B76">
    <cfRule type="duplicateValues" dxfId="0" priority="418"/>
  </conditionalFormatting>
  <conditionalFormatting sqref="B78:B80">
    <cfRule type="duplicateValues" dxfId="0" priority="419"/>
  </conditionalFormatting>
  <conditionalFormatting sqref="B82:B83">
    <cfRule type="duplicateValues" dxfId="0" priority="420"/>
  </conditionalFormatting>
  <conditionalFormatting sqref="B86:B88">
    <cfRule type="duplicateValues" dxfId="0" priority="406"/>
  </conditionalFormatting>
  <conditionalFormatting sqref="B103:B105">
    <cfRule type="duplicateValues" dxfId="0" priority="408"/>
  </conditionalFormatting>
  <conditionalFormatting sqref="B107:B108">
    <cfRule type="duplicateValues" dxfId="0" priority="225"/>
  </conditionalFormatting>
  <conditionalFormatting sqref="B113:B114">
    <cfRule type="duplicateValues" dxfId="0" priority="395"/>
  </conditionalFormatting>
  <conditionalFormatting sqref="B128:B130">
    <cfRule type="duplicateValues" dxfId="0" priority="384"/>
  </conditionalFormatting>
  <conditionalFormatting sqref="B133:B134">
    <cfRule type="duplicateValues" dxfId="0" priority="220"/>
  </conditionalFormatting>
  <conditionalFormatting sqref="B135:B137">
    <cfRule type="duplicateValues" dxfId="0" priority="219"/>
  </conditionalFormatting>
  <conditionalFormatting sqref="B139:B140">
    <cfRule type="duplicateValues" dxfId="0" priority="217"/>
  </conditionalFormatting>
  <conditionalFormatting sqref="B142:B145">
    <cfRule type="duplicateValues" dxfId="0" priority="385"/>
  </conditionalFormatting>
  <conditionalFormatting sqref="B156:B157">
    <cfRule type="duplicateValues" dxfId="0" priority="216"/>
  </conditionalFormatting>
  <conditionalFormatting sqref="B159:B160">
    <cfRule type="duplicateValues" dxfId="0" priority="213"/>
  </conditionalFormatting>
  <conditionalFormatting sqref="B172:B173">
    <cfRule type="duplicateValues" dxfId="0" priority="362"/>
  </conditionalFormatting>
  <conditionalFormatting sqref="B175:B176">
    <cfRule type="duplicateValues" dxfId="0" priority="211"/>
  </conditionalFormatting>
  <conditionalFormatting sqref="B179:B181">
    <cfRule type="duplicateValues" dxfId="0" priority="209"/>
  </conditionalFormatting>
  <conditionalFormatting sqref="B183:B184">
    <cfRule type="duplicateValues" dxfId="0" priority="206"/>
  </conditionalFormatting>
  <conditionalFormatting sqref="B186:B188">
    <cfRule type="duplicateValues" dxfId="0" priority="364"/>
  </conditionalFormatting>
  <conditionalFormatting sqref="B202:B203">
    <cfRule type="duplicateValues" dxfId="0" priority="202"/>
  </conditionalFormatting>
  <conditionalFormatting sqref="B210:B212">
    <cfRule type="duplicateValues" dxfId="0" priority="339"/>
  </conditionalFormatting>
  <conditionalFormatting sqref="B214:B215">
    <cfRule type="duplicateValues" dxfId="0" priority="335"/>
  </conditionalFormatting>
  <conditionalFormatting sqref="B217:B219">
    <cfRule type="duplicateValues" dxfId="0" priority="348"/>
  </conditionalFormatting>
  <conditionalFormatting sqref="B221:B222">
    <cfRule type="duplicateValues" dxfId="0" priority="344"/>
  </conditionalFormatting>
  <conditionalFormatting sqref="B227:B229">
    <cfRule type="duplicateValues" dxfId="0" priority="328"/>
  </conditionalFormatting>
  <conditionalFormatting sqref="B231:B232">
    <cfRule type="duplicateValues" dxfId="0" priority="333"/>
  </conditionalFormatting>
  <conditionalFormatting sqref="B237:B239">
    <cfRule type="duplicateValues" dxfId="0" priority="329"/>
  </conditionalFormatting>
  <conditionalFormatting sqref="B245:B246">
    <cfRule type="duplicateValues" dxfId="0" priority="318"/>
  </conditionalFormatting>
  <conditionalFormatting sqref="B247:B248">
    <cfRule type="duplicateValues" dxfId="0" priority="317"/>
  </conditionalFormatting>
  <conditionalFormatting sqref="B260:B262">
    <cfRule type="duplicateValues" dxfId="0" priority="319"/>
  </conditionalFormatting>
  <conditionalFormatting sqref="B270:B271">
    <cfRule type="duplicateValues" dxfId="0" priority="308"/>
  </conditionalFormatting>
  <conditionalFormatting sqref="B272:B273">
    <cfRule type="duplicateValues" dxfId="0" priority="307"/>
  </conditionalFormatting>
  <conditionalFormatting sqref="B275:B277">
    <cfRule type="duplicateValues" dxfId="0" priority="189"/>
  </conditionalFormatting>
  <conditionalFormatting sqref="B279:B280">
    <cfRule type="duplicateValues" dxfId="0" priority="188"/>
  </conditionalFormatting>
  <conditionalFormatting sqref="B282:B285">
    <cfRule type="duplicateValues" dxfId="0" priority="309"/>
  </conditionalFormatting>
  <conditionalFormatting sqref="B291:B292">
    <cfRule type="duplicateValues" dxfId="0" priority="298"/>
  </conditionalFormatting>
  <conditionalFormatting sqref="B298:B299">
    <cfRule type="duplicateValues" dxfId="0" priority="183"/>
  </conditionalFormatting>
  <conditionalFormatting sqref="B307:B309">
    <cfRule type="duplicateValues" dxfId="0" priority="288"/>
  </conditionalFormatting>
  <conditionalFormatting sqref="B323:B325">
    <cfRule type="duplicateValues" dxfId="0" priority="289"/>
  </conditionalFormatting>
  <conditionalFormatting sqref="B332:B334">
    <cfRule type="duplicateValues" dxfId="0" priority="106"/>
  </conditionalFormatting>
  <conditionalFormatting sqref="B339:B342">
    <cfRule type="duplicateValues" dxfId="0" priority="278"/>
  </conditionalFormatting>
  <conditionalFormatting sqref="B344:B350">
    <cfRule type="duplicateValues" dxfId="0" priority="283"/>
  </conditionalFormatting>
  <conditionalFormatting sqref="B355:B356">
    <cfRule type="duplicateValues" dxfId="0" priority="175"/>
  </conditionalFormatting>
  <conditionalFormatting sqref="B358:B360">
    <cfRule type="duplicateValues" dxfId="0" priority="279"/>
  </conditionalFormatting>
  <conditionalFormatting sqref="B366:B369">
    <cfRule type="duplicateValues" dxfId="0" priority="268"/>
  </conditionalFormatting>
  <conditionalFormatting sqref="B372:B377">
    <cfRule type="duplicateValues" dxfId="0" priority="170"/>
  </conditionalFormatting>
  <conditionalFormatting sqref="B385:B387">
    <cfRule type="duplicateValues" dxfId="0" priority="269"/>
  </conditionalFormatting>
  <conditionalFormatting sqref="B393:B396">
    <cfRule type="duplicateValues" dxfId="0" priority="258"/>
  </conditionalFormatting>
  <conditionalFormatting sqref="B399:B404">
    <cfRule type="duplicateValues" dxfId="0" priority="163"/>
  </conditionalFormatting>
  <conditionalFormatting sqref="B412:B414">
    <cfRule type="duplicateValues" dxfId="0" priority="259"/>
  </conditionalFormatting>
  <conditionalFormatting sqref="B420:B423">
    <cfRule type="duplicateValues" dxfId="0" priority="248"/>
  </conditionalFormatting>
  <conditionalFormatting sqref="B426:B431">
    <cfRule type="duplicateValues" dxfId="0" priority="156"/>
  </conditionalFormatting>
  <conditionalFormatting sqref="B439:B441">
    <cfRule type="duplicateValues" dxfId="0" priority="249"/>
  </conditionalFormatting>
  <conditionalFormatting sqref="B446:B447">
    <cfRule type="duplicateValues" dxfId="0" priority="102"/>
  </conditionalFormatting>
  <conditionalFormatting sqref="B455:B456">
    <cfRule type="duplicateValues" dxfId="0" priority="664"/>
  </conditionalFormatting>
  <conditionalFormatting sqref="B458:B466">
    <cfRule type="duplicateValues" dxfId="0" priority="1536"/>
  </conditionalFormatting>
  <conditionalFormatting sqref="B470:B473">
    <cfRule type="duplicateValues" dxfId="0" priority="1286"/>
  </conditionalFormatting>
  <conditionalFormatting sqref="B474:B475">
    <cfRule type="duplicateValues" dxfId="0" priority="1287"/>
  </conditionalFormatting>
  <conditionalFormatting sqref="B477:B478">
    <cfRule type="duplicateValues" dxfId="0" priority="1289"/>
  </conditionalFormatting>
  <conditionalFormatting sqref="B485:B490">
    <cfRule type="duplicateValues" dxfId="0" priority="662"/>
  </conditionalFormatting>
  <conditionalFormatting sqref="B492:B493">
    <cfRule type="duplicateValues" dxfId="0" priority="658"/>
  </conditionalFormatting>
  <conditionalFormatting sqref="B494:B496">
    <cfRule type="duplicateValues" dxfId="0" priority="656"/>
  </conditionalFormatting>
  <conditionalFormatting sqref="B510:B512">
    <cfRule type="duplicateValues" dxfId="0" priority="1285"/>
  </conditionalFormatting>
  <conditionalFormatting sqref="B518:B524">
    <cfRule type="duplicateValues" dxfId="0" priority="1279"/>
  </conditionalFormatting>
  <conditionalFormatting sqref="B531:B535">
    <cfRule type="duplicateValues" dxfId="0" priority="1271"/>
  </conditionalFormatting>
  <conditionalFormatting sqref="B539:B541">
    <cfRule type="duplicateValues" dxfId="0" priority="632"/>
  </conditionalFormatting>
  <conditionalFormatting sqref="B542:B552">
    <cfRule type="duplicateValues" dxfId="0" priority="637"/>
  </conditionalFormatting>
  <conditionalFormatting sqref="B556:B557">
    <cfRule type="duplicateValues" dxfId="0" priority="629"/>
  </conditionalFormatting>
  <conditionalFormatting sqref="B558:B562">
    <cfRule type="duplicateValues" dxfId="0" priority="633"/>
  </conditionalFormatting>
  <conditionalFormatting sqref="B567:B571">
    <cfRule type="duplicateValues" dxfId="0" priority="634"/>
  </conditionalFormatting>
  <conditionalFormatting sqref="B577:B579">
    <cfRule type="duplicateValues" dxfId="0" priority="627"/>
  </conditionalFormatting>
  <conditionalFormatting sqref="B584:B588">
    <cfRule type="duplicateValues" dxfId="0" priority="623"/>
  </conditionalFormatting>
  <conditionalFormatting sqref="B596:B599">
    <cfRule type="duplicateValues" dxfId="0" priority="616"/>
  </conditionalFormatting>
  <conditionalFormatting sqref="B601:B602">
    <cfRule type="duplicateValues" dxfId="0" priority="610"/>
  </conditionalFormatting>
  <conditionalFormatting sqref="B603:B605">
    <cfRule type="duplicateValues" dxfId="0" priority="612"/>
  </conditionalFormatting>
  <conditionalFormatting sqref="B612:B613">
    <cfRule type="duplicateValues" dxfId="0" priority="587"/>
  </conditionalFormatting>
  <conditionalFormatting sqref="B615:B617">
    <cfRule type="duplicateValues" dxfId="0" priority="605"/>
  </conditionalFormatting>
  <conditionalFormatting sqref="B621:B625">
    <cfRule type="duplicateValues" dxfId="0" priority="601"/>
  </conditionalFormatting>
  <conditionalFormatting sqref="B632:B633">
    <cfRule type="duplicateValues" dxfId="0" priority="588"/>
  </conditionalFormatting>
  <conditionalFormatting sqref="B642:B646">
    <cfRule type="duplicateValues" dxfId="0" priority="592"/>
  </conditionalFormatting>
  <conditionalFormatting sqref="B667:B670">
    <cfRule type="duplicateValues" dxfId="0" priority="580"/>
  </conditionalFormatting>
  <conditionalFormatting sqref="B690:B693">
    <cfRule type="duplicateValues" dxfId="0" priority="569"/>
  </conditionalFormatting>
  <conditionalFormatting sqref="B695:B697">
    <cfRule type="duplicateValues" dxfId="0" priority="570"/>
  </conditionalFormatting>
  <conditionalFormatting sqref="B703:B709">
    <cfRule type="duplicateValues" dxfId="0" priority="562"/>
  </conditionalFormatting>
  <conditionalFormatting sqref="B712:B715">
    <cfRule type="duplicateValues" dxfId="0" priority="558"/>
  </conditionalFormatting>
  <conditionalFormatting sqref="B722:B724">
    <cfRule type="duplicateValues" dxfId="0" priority="541"/>
  </conditionalFormatting>
  <conditionalFormatting sqref="B731:B735">
    <cfRule type="duplicateValues" dxfId="0" priority="528"/>
  </conditionalFormatting>
  <conditionalFormatting sqref="B746:B751">
    <cfRule type="duplicateValues" dxfId="0" priority="526"/>
  </conditionalFormatting>
  <conditionalFormatting sqref="B754:B756">
    <cfRule type="duplicateValues" dxfId="0" priority="530"/>
  </conditionalFormatting>
  <conditionalFormatting sqref="B775:B778">
    <cfRule type="duplicateValues" dxfId="0" priority="519"/>
  </conditionalFormatting>
  <conditionalFormatting sqref="B783:B786">
    <cfRule type="duplicateValues" dxfId="0" priority="505"/>
  </conditionalFormatting>
  <conditionalFormatting sqref="B789:B793">
    <cfRule type="duplicateValues" dxfId="0" priority="512"/>
  </conditionalFormatting>
  <conditionalFormatting sqref="B797:B798">
    <cfRule type="duplicateValues" dxfId="0" priority="499"/>
  </conditionalFormatting>
  <conditionalFormatting sqref="B799:B802">
    <cfRule type="duplicateValues" dxfId="0" priority="508"/>
  </conditionalFormatting>
  <conditionalFormatting sqref="B806:B808">
    <cfRule type="duplicateValues" dxfId="0" priority="490"/>
  </conditionalFormatting>
  <conditionalFormatting sqref="B811:B816">
    <cfRule type="duplicateValues" dxfId="0" priority="497"/>
  </conditionalFormatting>
  <conditionalFormatting sqref="B820:B821">
    <cfRule type="duplicateValues" dxfId="0" priority="487"/>
  </conditionalFormatting>
  <conditionalFormatting sqref="B822:B825">
    <cfRule type="duplicateValues" dxfId="0" priority="493"/>
  </conditionalFormatting>
  <conditionalFormatting sqref="B827:B833">
    <cfRule type="duplicateValues" dxfId="0" priority="494"/>
  </conditionalFormatting>
  <conditionalFormatting sqref="B836:B838">
    <cfRule type="duplicateValues" dxfId="0" priority="482"/>
  </conditionalFormatting>
  <conditionalFormatting sqref="B857:B858">
    <cfRule type="duplicateValues" dxfId="0" priority="477"/>
  </conditionalFormatting>
  <conditionalFormatting sqref="B861:B863">
    <cfRule type="duplicateValues" dxfId="0" priority="462"/>
  </conditionalFormatting>
  <conditionalFormatting sqref="B864:B867">
    <cfRule type="duplicateValues" dxfId="0" priority="468"/>
  </conditionalFormatting>
  <conditionalFormatting sqref="B873:B875">
    <cfRule type="duplicateValues" dxfId="0" priority="465"/>
  </conditionalFormatting>
  <conditionalFormatting sqref="B878:B880">
    <cfRule type="duplicateValues" dxfId="0" priority="453"/>
  </conditionalFormatting>
  <conditionalFormatting sqref="B883:B885">
    <cfRule type="duplicateValues" dxfId="0" priority="149"/>
  </conditionalFormatting>
  <conditionalFormatting sqref="B893:B896">
    <cfRule type="duplicateValues" dxfId="0" priority="450"/>
  </conditionalFormatting>
  <conditionalFormatting sqref="B897:B901">
    <cfRule type="duplicateValues" dxfId="0" priority="456"/>
  </conditionalFormatting>
  <conditionalFormatting sqref="B904:B905">
    <cfRule type="duplicateValues" dxfId="0" priority="457"/>
  </conditionalFormatting>
  <conditionalFormatting sqref="B907:B909">
    <cfRule type="duplicateValues" dxfId="0" priority="98"/>
  </conditionalFormatting>
  <conditionalFormatting sqref="B914:B915">
    <cfRule type="duplicateValues" dxfId="0" priority="72"/>
  </conditionalFormatting>
  <conditionalFormatting sqref="B919:B920">
    <cfRule type="duplicateValues" dxfId="0" priority="73"/>
  </conditionalFormatting>
  <conditionalFormatting sqref="B927:B930">
    <cfRule type="duplicateValues" dxfId="0" priority="69"/>
  </conditionalFormatting>
  <conditionalFormatting sqref="B937:B940">
    <cfRule type="duplicateValues" dxfId="0" priority="64"/>
  </conditionalFormatting>
  <conditionalFormatting sqref="B944:B945">
    <cfRule type="duplicateValues" dxfId="0" priority="57"/>
  </conditionalFormatting>
  <conditionalFormatting sqref="B946:B948">
    <cfRule type="duplicateValues" dxfId="0" priority="58"/>
  </conditionalFormatting>
  <conditionalFormatting sqref="B951:B953">
    <cfRule type="duplicateValues" dxfId="0" priority="59"/>
  </conditionalFormatting>
  <conditionalFormatting sqref="B956:B960">
    <cfRule type="duplicateValues" dxfId="0" priority="53"/>
  </conditionalFormatting>
  <conditionalFormatting sqref="B980:B983">
    <cfRule type="duplicateValues" dxfId="0" priority="34"/>
  </conditionalFormatting>
  <conditionalFormatting sqref="B993:B995">
    <cfRule type="duplicateValues" dxfId="0" priority="30"/>
  </conditionalFormatting>
  <conditionalFormatting sqref="B1009:B1010">
    <cfRule type="duplicateValues" dxfId="0" priority="5"/>
  </conditionalFormatting>
  <conditionalFormatting sqref="B1020:B1022">
    <cfRule type="duplicateValues" dxfId="0" priority="14"/>
  </conditionalFormatting>
  <conditionalFormatting sqref="B1023:B1024">
    <cfRule type="duplicateValues" dxfId="0" priority="15"/>
  </conditionalFormatting>
  <conditionalFormatting sqref="B1026:B1029">
    <cfRule type="duplicateValues" dxfId="0" priority="8"/>
  </conditionalFormatting>
  <conditionalFormatting sqref="B1030:B1031">
    <cfRule type="duplicateValues" dxfId="0" priority="6"/>
  </conditionalFormatting>
  <conditionalFormatting sqref="B1033:B1035">
    <cfRule type="duplicateValues" dxfId="0" priority="2"/>
  </conditionalFormatting>
  <conditionalFormatting sqref="B1036:B1037">
    <cfRule type="duplicateValues" dxfId="0" priority="1"/>
  </conditionalFormatting>
  <conditionalFormatting sqref="B2 B4 B448:B449">
    <cfRule type="duplicateValues" dxfId="0" priority="1548"/>
  </conditionalFormatting>
  <conditionalFormatting sqref="B7 B9">
    <cfRule type="duplicateValues" dxfId="0" priority="442"/>
  </conditionalFormatting>
  <conditionalFormatting sqref="B12:B16 B18:B19 B21 B23:B26">
    <cfRule type="duplicateValues" dxfId="0" priority="448"/>
  </conditionalFormatting>
  <conditionalFormatting sqref="B27 B33">
    <cfRule type="duplicateValues" dxfId="0" priority="447"/>
  </conditionalFormatting>
  <conditionalFormatting sqref="B51 B58">
    <cfRule type="duplicateValues" dxfId="0" priority="436"/>
  </conditionalFormatting>
  <conditionalFormatting sqref="B74 B81">
    <cfRule type="duplicateValues" dxfId="0" priority="422"/>
  </conditionalFormatting>
  <conditionalFormatting sqref="B91:B94 B97:B99">
    <cfRule type="duplicateValues" dxfId="0" priority="230"/>
  </conditionalFormatting>
  <conditionalFormatting sqref="B100 B106">
    <cfRule type="duplicateValues" dxfId="0" priority="411"/>
  </conditionalFormatting>
  <conditionalFormatting sqref="B117 B119">
    <cfRule type="duplicateValues" dxfId="0" priority="223"/>
  </conditionalFormatting>
  <conditionalFormatting sqref="B120 B124">
    <cfRule type="duplicateValues" dxfId="0" priority="400"/>
  </conditionalFormatting>
  <conditionalFormatting sqref="B141 B148">
    <cfRule type="duplicateValues" dxfId="0" priority="389"/>
  </conditionalFormatting>
  <conditionalFormatting sqref="B161 B164 B168">
    <cfRule type="duplicateValues" dxfId="0" priority="378"/>
  </conditionalFormatting>
  <conditionalFormatting sqref="B185 B190">
    <cfRule type="duplicateValues" dxfId="0" priority="367"/>
  </conditionalFormatting>
  <conditionalFormatting sqref="B191 B193:B194">
    <cfRule type="duplicateValues" dxfId="0" priority="204"/>
  </conditionalFormatting>
  <conditionalFormatting sqref="B204 B207">
    <cfRule type="duplicateValues" dxfId="0" priority="357"/>
  </conditionalFormatting>
  <conditionalFormatting sqref="B220 B224">
    <cfRule type="duplicateValues" dxfId="0" priority="347"/>
  </conditionalFormatting>
  <conditionalFormatting sqref="B236 B241">
    <cfRule type="duplicateValues" dxfId="0" priority="332"/>
  </conditionalFormatting>
  <conditionalFormatting sqref="B250:B253 B256:B258">
    <cfRule type="duplicateValues" dxfId="0" priority="195"/>
  </conditionalFormatting>
  <conditionalFormatting sqref="B259 B264">
    <cfRule type="duplicateValues" dxfId="0" priority="322"/>
  </conditionalFormatting>
  <conditionalFormatting sqref="B281 B287">
    <cfRule type="duplicateValues" dxfId="0" priority="312"/>
  </conditionalFormatting>
  <conditionalFormatting sqref="B300 B303">
    <cfRule type="duplicateValues" dxfId="0" priority="302"/>
  </conditionalFormatting>
  <conditionalFormatting sqref="B312:B316 B319:B321">
    <cfRule type="duplicateValues" dxfId="0" priority="181"/>
  </conditionalFormatting>
  <conditionalFormatting sqref="B322 B327">
    <cfRule type="duplicateValues" dxfId="0" priority="292"/>
  </conditionalFormatting>
  <conditionalFormatting sqref="B328:B330 B336">
    <cfRule type="duplicateValues" dxfId="0" priority="177"/>
  </conditionalFormatting>
  <conditionalFormatting sqref="B357 B362">
    <cfRule type="duplicateValues" dxfId="0" priority="282"/>
  </conditionalFormatting>
  <conditionalFormatting sqref="B384 B389">
    <cfRule type="duplicateValues" dxfId="0" priority="272"/>
  </conditionalFormatting>
  <conditionalFormatting sqref="B411 B416">
    <cfRule type="duplicateValues" dxfId="0" priority="262"/>
  </conditionalFormatting>
  <conditionalFormatting sqref="B438 B443">
    <cfRule type="duplicateValues" dxfId="0" priority="252"/>
  </conditionalFormatting>
  <conditionalFormatting sqref="B450:B452 B457">
    <cfRule type="duplicateValues" dxfId="0" priority="1530"/>
  </conditionalFormatting>
  <conditionalFormatting sqref="B467 B476">
    <cfRule type="duplicateValues" dxfId="0" priority="1533"/>
  </conditionalFormatting>
  <conditionalFormatting sqref="B480 B484">
    <cfRule type="duplicateValues" dxfId="0" priority="660"/>
  </conditionalFormatting>
  <conditionalFormatting sqref="B491 B498">
    <cfRule type="duplicateValues" dxfId="0" priority="661"/>
  </conditionalFormatting>
  <conditionalFormatting sqref="B505 B507">
    <cfRule type="duplicateValues" dxfId="0" priority="649"/>
  </conditionalFormatting>
  <conditionalFormatting sqref="B554 B564">
    <cfRule type="duplicateValues" dxfId="0" priority="636"/>
  </conditionalFormatting>
  <conditionalFormatting sqref="B574 B576">
    <cfRule type="duplicateValues" dxfId="0" priority="622"/>
  </conditionalFormatting>
  <conditionalFormatting sqref="B582 B589">
    <cfRule type="duplicateValues" dxfId="0" priority="626"/>
  </conditionalFormatting>
  <conditionalFormatting sqref="B593 B595">
    <cfRule type="duplicateValues" dxfId="0" priority="611"/>
  </conditionalFormatting>
  <conditionalFormatting sqref="B600 B606">
    <cfRule type="duplicateValues" dxfId="0" priority="615"/>
  </conditionalFormatting>
  <conditionalFormatting sqref="B610 B614">
    <cfRule type="duplicateValues" dxfId="0" priority="600"/>
  </conditionalFormatting>
  <conditionalFormatting sqref="B630 B634">
    <cfRule type="duplicateValues" dxfId="0" priority="591"/>
  </conditionalFormatting>
  <conditionalFormatting sqref="B636 B638">
    <cfRule type="duplicateValues" dxfId="0" priority="596"/>
  </conditionalFormatting>
  <conditionalFormatting sqref="B640 B647">
    <cfRule type="duplicateValues" dxfId="0" priority="595"/>
  </conditionalFormatting>
  <conditionalFormatting sqref="B656 B659 B662:B664">
    <cfRule type="duplicateValues" dxfId="0" priority="145"/>
  </conditionalFormatting>
  <conditionalFormatting sqref="B665 B671">
    <cfRule type="duplicateValues" dxfId="0" priority="583"/>
  </conditionalFormatting>
  <conditionalFormatting sqref="B679:B683 B685:B686">
    <cfRule type="duplicateValues" dxfId="0" priority="573"/>
  </conditionalFormatting>
  <conditionalFormatting sqref="B688 B694">
    <cfRule type="duplicateValues" dxfId="0" priority="572"/>
  </conditionalFormatting>
  <conditionalFormatting sqref="B710 B716">
    <cfRule type="duplicateValues" dxfId="0" priority="561"/>
  </conditionalFormatting>
  <conditionalFormatting sqref="B726 B728">
    <cfRule type="duplicateValues" dxfId="0" priority="540"/>
  </conditionalFormatting>
  <conditionalFormatting sqref="B737:B740 B742">
    <cfRule type="duplicateValues" dxfId="0" priority="533"/>
  </conditionalFormatting>
  <conditionalFormatting sqref="B744 B752:B753">
    <cfRule type="duplicateValues" dxfId="0" priority="532"/>
  </conditionalFormatting>
  <conditionalFormatting sqref="B764 B767 B770:B772">
    <cfRule type="duplicateValues" dxfId="0" priority="148"/>
  </conditionalFormatting>
  <conditionalFormatting sqref="B773 B779">
    <cfRule type="duplicateValues" dxfId="0" priority="522"/>
  </conditionalFormatting>
  <conditionalFormatting sqref="B795 B803">
    <cfRule type="duplicateValues" dxfId="0" priority="511"/>
  </conditionalFormatting>
  <conditionalFormatting sqref="B818 B826">
    <cfRule type="duplicateValues" dxfId="0" priority="496"/>
  </conditionalFormatting>
  <conditionalFormatting sqref="B844:B847 B849:B850">
    <cfRule type="duplicateValues" dxfId="0" priority="480"/>
  </conditionalFormatting>
  <conditionalFormatting sqref="B870 B872">
    <cfRule type="duplicateValues" dxfId="0" priority="467"/>
  </conditionalFormatting>
  <conditionalFormatting sqref="B882 B886:B890">
    <cfRule type="duplicateValues" dxfId="0" priority="460"/>
  </conditionalFormatting>
  <conditionalFormatting sqref="B891 B902:B903">
    <cfRule type="duplicateValues" dxfId="0" priority="459"/>
  </conditionalFormatting>
  <conditionalFormatting sqref="B917 B921:B923">
    <cfRule type="duplicateValues" dxfId="0" priority="78"/>
  </conditionalFormatting>
  <conditionalFormatting sqref="B924 B931:B932">
    <cfRule type="duplicateValues" dxfId="0" priority="77"/>
  </conditionalFormatting>
  <conditionalFormatting sqref="B1001:B1004 B1007:B1008 B1011:B1014">
    <cfRule type="duplicateValues" dxfId="0" priority="18"/>
  </conditionalFormatting>
  <conditionalFormatting sqref="B1015 B1025">
    <cfRule type="duplicateValues" dxfId="0" priority="17"/>
  </conditionalFormatting>
  <printOptions horizontalCentered="1"/>
  <pageMargins left="0.472222222222222" right="0.472222222222222" top="0.590277777777778" bottom="0.590277777777778" header="0.393055555555556" footer="0.393055555555556"/>
  <pageSetup paperSize="9" scale="74" fitToHeight="0" orientation="landscape" blackAndWhite="1" horizontalDpi="600"/>
  <headerFooter>
    <oddFooter>&amp;C第 &amp;P 页，共 &amp;N 页</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N44"/>
  <sheetViews>
    <sheetView view="pageBreakPreview" zoomScaleNormal="100" workbookViewId="0">
      <selection activeCell="H6" sqref="H6"/>
    </sheetView>
  </sheetViews>
  <sheetFormatPr defaultColWidth="10" defaultRowHeight="11.25"/>
  <cols>
    <col min="1" max="1" width="6.98333333333333" style="1" customWidth="1"/>
    <col min="2" max="2" width="24.1083333333333" style="3" customWidth="1"/>
    <col min="3" max="3" width="49" style="1" customWidth="1"/>
    <col min="4" max="4" width="5.63333333333333" style="87" customWidth="1"/>
    <col min="5" max="5" width="12.3833333333333" style="88" customWidth="1"/>
    <col min="6" max="9" width="12.3833333333333" style="88" customWidth="1" outlineLevel="1"/>
    <col min="10" max="10" width="12.6333333333333" style="88" customWidth="1"/>
    <col min="11" max="11" width="15.1333333333333" style="89" customWidth="1"/>
    <col min="12" max="12" width="11.5" style="6" customWidth="1"/>
    <col min="13" max="13" width="5.38333333333333" style="1" customWidth="1"/>
    <col min="14" max="14" width="12.5" style="1" customWidth="1"/>
    <col min="15" max="16384" width="10" style="1"/>
  </cols>
  <sheetData>
    <row r="1" s="1" customFormat="1" ht="48" customHeight="1" spans="1:12">
      <c r="A1" s="7" t="s">
        <v>40</v>
      </c>
      <c r="B1" s="8"/>
      <c r="C1" s="9"/>
      <c r="D1" s="9"/>
      <c r="E1" s="90"/>
      <c r="F1" s="90"/>
      <c r="G1" s="90"/>
      <c r="H1" s="90"/>
      <c r="I1" s="90"/>
      <c r="J1" s="90"/>
      <c r="K1" s="91"/>
      <c r="L1" s="9"/>
    </row>
    <row r="2" s="2" customFormat="1" ht="24" customHeight="1" spans="1:12">
      <c r="A2" s="12" t="s">
        <v>17</v>
      </c>
      <c r="B2" s="12" t="s">
        <v>41</v>
      </c>
      <c r="C2" s="12" t="s">
        <v>42</v>
      </c>
      <c r="D2" s="12" t="s">
        <v>43</v>
      </c>
      <c r="E2" s="13" t="s">
        <v>44</v>
      </c>
      <c r="F2" s="14" t="s">
        <v>45</v>
      </c>
      <c r="G2" s="14" t="s">
        <v>46</v>
      </c>
      <c r="H2" s="14" t="s">
        <v>47</v>
      </c>
      <c r="I2" s="15" t="s">
        <v>48</v>
      </c>
      <c r="J2" s="14" t="s">
        <v>49</v>
      </c>
      <c r="K2" s="16" t="s">
        <v>50</v>
      </c>
      <c r="L2" s="12" t="s">
        <v>24</v>
      </c>
    </row>
    <row r="3" s="2" customFormat="1" ht="12" customHeight="1" spans="1:12">
      <c r="A3" s="17"/>
      <c r="B3" s="17"/>
      <c r="C3" s="17"/>
      <c r="D3" s="17"/>
      <c r="E3" s="18"/>
      <c r="F3" s="19"/>
      <c r="G3" s="19"/>
      <c r="H3" s="19"/>
      <c r="I3" s="15"/>
      <c r="J3" s="19"/>
      <c r="K3" s="20"/>
      <c r="L3" s="17"/>
    </row>
    <row r="4" s="86" customFormat="1" ht="24" customHeight="1" spans="1:12">
      <c r="A4" s="92" t="s">
        <v>52</v>
      </c>
      <c r="B4" s="93" t="s">
        <v>33</v>
      </c>
      <c r="C4" s="93"/>
      <c r="D4" s="94"/>
      <c r="E4" s="95"/>
      <c r="F4" s="95"/>
      <c r="G4" s="95"/>
      <c r="H4" s="95"/>
      <c r="I4" s="95"/>
      <c r="J4" s="95"/>
      <c r="K4" s="23">
        <f>SUM(K5:K23)</f>
        <v>0</v>
      </c>
      <c r="L4" s="96"/>
    </row>
    <row r="5" s="86" customFormat="1" ht="24" customHeight="1" outlineLevel="1" spans="1:12">
      <c r="A5" s="97"/>
      <c r="B5" s="98" t="s">
        <v>55</v>
      </c>
      <c r="C5" s="99"/>
      <c r="D5" s="100"/>
      <c r="E5" s="101"/>
      <c r="F5" s="101"/>
      <c r="G5" s="101"/>
      <c r="H5" s="101"/>
      <c r="I5" s="101"/>
      <c r="J5" s="101"/>
      <c r="K5" s="102"/>
      <c r="L5" s="96"/>
    </row>
    <row r="6" s="86" customFormat="1" ht="96" outlineLevel="2" spans="1:12">
      <c r="A6" s="103">
        <f t="shared" ref="A6:A15" si="0">1+N(A5)</f>
        <v>1</v>
      </c>
      <c r="B6" s="98" t="s">
        <v>56</v>
      </c>
      <c r="C6" s="99" t="s">
        <v>57</v>
      </c>
      <c r="D6" s="100" t="s">
        <v>58</v>
      </c>
      <c r="E6" s="101">
        <v>2.337</v>
      </c>
      <c r="F6" s="101"/>
      <c r="G6" s="101"/>
      <c r="H6" s="27"/>
      <c r="I6" s="27">
        <f>(F6+G6+H6)*$I$3</f>
        <v>0</v>
      </c>
      <c r="J6" s="28">
        <f t="shared" ref="J6:J15" si="1">ROUND(SUM(F6:I6),2)</f>
        <v>0</v>
      </c>
      <c r="K6" s="29">
        <f t="shared" ref="K6:K15" si="2">ROUND(J6*E6,2)</f>
        <v>0</v>
      </c>
      <c r="L6" s="96"/>
    </row>
    <row r="7" s="86" customFormat="1" ht="48" outlineLevel="2" spans="1:12">
      <c r="A7" s="103">
        <f t="shared" si="0"/>
        <v>2</v>
      </c>
      <c r="B7" s="98" t="s">
        <v>66</v>
      </c>
      <c r="C7" s="99" t="s">
        <v>67</v>
      </c>
      <c r="D7" s="100" t="s">
        <v>58</v>
      </c>
      <c r="E7" s="101">
        <v>2.337</v>
      </c>
      <c r="F7" s="101"/>
      <c r="G7" s="101"/>
      <c r="H7" s="101"/>
      <c r="I7" s="27">
        <f t="shared" ref="I6:I15" si="3">(F7+G7+H7)*$I$3</f>
        <v>0</v>
      </c>
      <c r="J7" s="28">
        <f t="shared" si="1"/>
        <v>0</v>
      </c>
      <c r="K7" s="29">
        <f t="shared" si="2"/>
        <v>0</v>
      </c>
      <c r="L7" s="96"/>
    </row>
    <row r="8" s="86" customFormat="1" ht="24" customHeight="1" outlineLevel="1" spans="1:12">
      <c r="A8" s="97"/>
      <c r="B8" s="98" t="s">
        <v>489</v>
      </c>
      <c r="C8" s="99"/>
      <c r="D8" s="100"/>
      <c r="E8" s="101"/>
      <c r="F8" s="101"/>
      <c r="G8" s="101"/>
      <c r="H8" s="101"/>
      <c r="I8" s="101"/>
      <c r="J8" s="101"/>
      <c r="K8" s="102"/>
      <c r="L8" s="96"/>
    </row>
    <row r="9" s="86" customFormat="1" ht="72" outlineLevel="2" spans="1:12">
      <c r="A9" s="103">
        <f t="shared" si="0"/>
        <v>1</v>
      </c>
      <c r="B9" s="104" t="s">
        <v>490</v>
      </c>
      <c r="C9" s="99" t="s">
        <v>491</v>
      </c>
      <c r="D9" s="100" t="s">
        <v>58</v>
      </c>
      <c r="E9" s="101">
        <v>2.738</v>
      </c>
      <c r="F9" s="101"/>
      <c r="G9" s="101"/>
      <c r="H9" s="101"/>
      <c r="I9" s="27">
        <f t="shared" si="3"/>
        <v>0</v>
      </c>
      <c r="J9" s="28">
        <f t="shared" si="1"/>
        <v>0</v>
      </c>
      <c r="K9" s="29">
        <f t="shared" si="2"/>
        <v>0</v>
      </c>
      <c r="L9" s="96"/>
    </row>
    <row r="10" s="86" customFormat="1" ht="36" outlineLevel="2" spans="1:12">
      <c r="A10" s="103">
        <f t="shared" si="0"/>
        <v>2</v>
      </c>
      <c r="B10" s="104" t="s">
        <v>126</v>
      </c>
      <c r="C10" s="99" t="s">
        <v>492</v>
      </c>
      <c r="D10" s="100" t="s">
        <v>58</v>
      </c>
      <c r="E10" s="101">
        <f>2.415+(0.217*1.05+0.037*1.47+0.054*1.05)*2</f>
        <v>3.09288</v>
      </c>
      <c r="F10" s="101"/>
      <c r="G10" s="101"/>
      <c r="H10" s="101"/>
      <c r="I10" s="27">
        <f t="shared" si="3"/>
        <v>0</v>
      </c>
      <c r="J10" s="28">
        <f t="shared" si="1"/>
        <v>0</v>
      </c>
      <c r="K10" s="29">
        <f t="shared" si="2"/>
        <v>0</v>
      </c>
      <c r="L10" s="96"/>
    </row>
    <row r="11" s="86" customFormat="1" ht="60" customHeight="1" outlineLevel="2" spans="1:12">
      <c r="A11" s="103">
        <f t="shared" si="0"/>
        <v>3</v>
      </c>
      <c r="B11" s="104" t="s">
        <v>493</v>
      </c>
      <c r="C11" s="99" t="s">
        <v>494</v>
      </c>
      <c r="D11" s="100" t="s">
        <v>58</v>
      </c>
      <c r="E11" s="101">
        <v>8.025</v>
      </c>
      <c r="F11" s="101"/>
      <c r="G11" s="101"/>
      <c r="H11" s="101"/>
      <c r="I11" s="27">
        <f t="shared" si="3"/>
        <v>0</v>
      </c>
      <c r="J11" s="28">
        <f t="shared" si="1"/>
        <v>0</v>
      </c>
      <c r="K11" s="29">
        <f t="shared" si="2"/>
        <v>0</v>
      </c>
      <c r="L11" s="96"/>
    </row>
    <row r="12" s="86" customFormat="1" ht="48" outlineLevel="2" spans="1:12">
      <c r="A12" s="103">
        <f t="shared" si="0"/>
        <v>4</v>
      </c>
      <c r="B12" s="105" t="s">
        <v>495</v>
      </c>
      <c r="C12" s="106" t="s">
        <v>496</v>
      </c>
      <c r="D12" s="105" t="s">
        <v>65</v>
      </c>
      <c r="E12" s="101">
        <v>4.47</v>
      </c>
      <c r="F12" s="101"/>
      <c r="G12" s="101"/>
      <c r="H12" s="101"/>
      <c r="I12" s="27">
        <f t="shared" si="3"/>
        <v>0</v>
      </c>
      <c r="J12" s="28">
        <f t="shared" si="1"/>
        <v>0</v>
      </c>
      <c r="K12" s="29">
        <f t="shared" si="2"/>
        <v>0</v>
      </c>
      <c r="L12" s="96"/>
    </row>
    <row r="13" s="86" customFormat="1" ht="36" outlineLevel="2" spans="1:12">
      <c r="A13" s="103">
        <f t="shared" si="0"/>
        <v>5</v>
      </c>
      <c r="B13" s="105" t="s">
        <v>497</v>
      </c>
      <c r="C13" s="106" t="s">
        <v>498</v>
      </c>
      <c r="D13" s="105" t="s">
        <v>65</v>
      </c>
      <c r="E13" s="101">
        <v>5.17</v>
      </c>
      <c r="F13" s="101"/>
      <c r="G13" s="101"/>
      <c r="H13" s="101"/>
      <c r="I13" s="27">
        <f t="shared" si="3"/>
        <v>0</v>
      </c>
      <c r="J13" s="28">
        <f t="shared" si="1"/>
        <v>0</v>
      </c>
      <c r="K13" s="29">
        <f t="shared" si="2"/>
        <v>0</v>
      </c>
      <c r="L13" s="96"/>
    </row>
    <row r="14" s="86" customFormat="1" ht="36" outlineLevel="2" spans="1:12">
      <c r="A14" s="103">
        <f t="shared" si="0"/>
        <v>6</v>
      </c>
      <c r="B14" s="105" t="s">
        <v>499</v>
      </c>
      <c r="C14" s="106" t="s">
        <v>500</v>
      </c>
      <c r="D14" s="105" t="s">
        <v>65</v>
      </c>
      <c r="E14" s="101">
        <v>5.17</v>
      </c>
      <c r="F14" s="101"/>
      <c r="G14" s="101"/>
      <c r="H14" s="101"/>
      <c r="I14" s="27">
        <f t="shared" si="3"/>
        <v>0</v>
      </c>
      <c r="J14" s="28">
        <f t="shared" si="1"/>
        <v>0</v>
      </c>
      <c r="K14" s="29">
        <f t="shared" si="2"/>
        <v>0</v>
      </c>
      <c r="L14" s="96"/>
    </row>
    <row r="15" s="86" customFormat="1" ht="48" outlineLevel="2" spans="1:12">
      <c r="A15" s="103">
        <f t="shared" si="0"/>
        <v>7</v>
      </c>
      <c r="B15" s="105" t="s">
        <v>501</v>
      </c>
      <c r="C15" s="106" t="s">
        <v>502</v>
      </c>
      <c r="D15" s="105" t="s">
        <v>65</v>
      </c>
      <c r="E15" s="101">
        <f>6.78+3.394+10.06+2.585*2</f>
        <v>25.404</v>
      </c>
      <c r="F15" s="101"/>
      <c r="G15" s="101"/>
      <c r="H15" s="101"/>
      <c r="I15" s="27">
        <f t="shared" si="3"/>
        <v>0</v>
      </c>
      <c r="J15" s="28">
        <f t="shared" si="1"/>
        <v>0</v>
      </c>
      <c r="K15" s="29">
        <f t="shared" si="2"/>
        <v>0</v>
      </c>
      <c r="L15" s="96"/>
    </row>
    <row r="16" s="86" customFormat="1" ht="24" customHeight="1" outlineLevel="1" spans="1:12">
      <c r="A16" s="97"/>
      <c r="B16" s="98" t="s">
        <v>96</v>
      </c>
      <c r="C16" s="99"/>
      <c r="D16" s="100"/>
      <c r="E16" s="101"/>
      <c r="F16" s="101"/>
      <c r="G16" s="101"/>
      <c r="H16" s="101"/>
      <c r="I16" s="101"/>
      <c r="J16" s="101"/>
      <c r="K16" s="102"/>
      <c r="L16" s="96"/>
    </row>
    <row r="17" s="86" customFormat="1" ht="84" outlineLevel="2" spans="1:14">
      <c r="A17" s="103">
        <f t="shared" ref="A17:A21" si="4">1+N(A16)</f>
        <v>1</v>
      </c>
      <c r="B17" s="98" t="s">
        <v>380</v>
      </c>
      <c r="C17" s="108" t="s">
        <v>381</v>
      </c>
      <c r="D17" s="100" t="s">
        <v>58</v>
      </c>
      <c r="E17" s="101">
        <v>2.096</v>
      </c>
      <c r="F17" s="101"/>
      <c r="G17" s="101"/>
      <c r="H17" s="101"/>
      <c r="I17" s="27">
        <f t="shared" ref="I17:I21" si="5">(F17+G17+H17)*$I$3</f>
        <v>0</v>
      </c>
      <c r="J17" s="28">
        <f t="shared" ref="J17:J21" si="6">ROUND(SUM(F17:I17),2)</f>
        <v>0</v>
      </c>
      <c r="K17" s="29">
        <f t="shared" ref="K17:K21" si="7">ROUND(J17*E17,2)</f>
        <v>0</v>
      </c>
      <c r="L17" s="96"/>
    </row>
    <row r="18" s="86" customFormat="1" ht="72" customHeight="1" outlineLevel="2" spans="1:14">
      <c r="A18" s="103">
        <f t="shared" si="4"/>
        <v>2</v>
      </c>
      <c r="B18" s="98" t="s">
        <v>503</v>
      </c>
      <c r="C18" s="108" t="s">
        <v>504</v>
      </c>
      <c r="D18" s="100" t="s">
        <v>65</v>
      </c>
      <c r="E18" s="101">
        <v>5.26</v>
      </c>
      <c r="F18" s="101"/>
      <c r="G18" s="101"/>
      <c r="H18" s="101"/>
      <c r="I18" s="27">
        <f t="shared" si="5"/>
        <v>0</v>
      </c>
      <c r="J18" s="28">
        <f t="shared" si="6"/>
        <v>0</v>
      </c>
      <c r="K18" s="29">
        <f t="shared" si="7"/>
        <v>0</v>
      </c>
      <c r="L18" s="96"/>
    </row>
    <row r="19" s="86" customFormat="1" ht="72" customHeight="1" outlineLevel="2" spans="1:14">
      <c r="A19" s="103">
        <f t="shared" si="4"/>
        <v>3</v>
      </c>
      <c r="B19" s="98" t="s">
        <v>505</v>
      </c>
      <c r="C19" s="99" t="s">
        <v>506</v>
      </c>
      <c r="D19" s="100" t="s">
        <v>65</v>
      </c>
      <c r="E19" s="101">
        <f>1.25*2</f>
        <v>2.5</v>
      </c>
      <c r="F19" s="101"/>
      <c r="G19" s="101"/>
      <c r="H19" s="101"/>
      <c r="I19" s="27">
        <f t="shared" si="5"/>
        <v>0</v>
      </c>
      <c r="J19" s="28">
        <f t="shared" si="6"/>
        <v>0</v>
      </c>
      <c r="K19" s="29">
        <f t="shared" si="7"/>
        <v>0</v>
      </c>
      <c r="L19" s="96"/>
    </row>
    <row r="20" s="86" customFormat="1" ht="72" customHeight="1" outlineLevel="2" spans="1:14">
      <c r="A20" s="103">
        <f t="shared" si="4"/>
        <v>4</v>
      </c>
      <c r="B20" s="98" t="s">
        <v>105</v>
      </c>
      <c r="C20" s="99" t="s">
        <v>106</v>
      </c>
      <c r="D20" s="100" t="s">
        <v>58</v>
      </c>
      <c r="E20" s="101">
        <v>1.146</v>
      </c>
      <c r="F20" s="101"/>
      <c r="G20" s="101"/>
      <c r="H20" s="101"/>
      <c r="I20" s="27">
        <f t="shared" si="5"/>
        <v>0</v>
      </c>
      <c r="J20" s="28">
        <f t="shared" si="6"/>
        <v>0</v>
      </c>
      <c r="K20" s="29">
        <f t="shared" si="7"/>
        <v>0</v>
      </c>
      <c r="L20" s="96"/>
    </row>
    <row r="21" s="86" customFormat="1" ht="72" customHeight="1" outlineLevel="2" spans="1:14">
      <c r="A21" s="103">
        <f t="shared" si="4"/>
        <v>5</v>
      </c>
      <c r="B21" s="98" t="s">
        <v>507</v>
      </c>
      <c r="C21" s="106" t="s">
        <v>508</v>
      </c>
      <c r="D21" s="100" t="s">
        <v>65</v>
      </c>
      <c r="E21" s="101">
        <v>2.46</v>
      </c>
      <c r="F21" s="101"/>
      <c r="G21" s="101"/>
      <c r="H21" s="101"/>
      <c r="I21" s="27">
        <f t="shared" si="5"/>
        <v>0</v>
      </c>
      <c r="J21" s="28">
        <f t="shared" si="6"/>
        <v>0</v>
      </c>
      <c r="K21" s="29">
        <f t="shared" si="7"/>
        <v>0</v>
      </c>
      <c r="L21" s="96"/>
      <c r="N21" s="110"/>
    </row>
    <row r="22" s="86" customFormat="1" ht="24" customHeight="1" outlineLevel="1" spans="1:14">
      <c r="A22" s="97"/>
      <c r="B22" s="98" t="s">
        <v>107</v>
      </c>
      <c r="C22" s="99"/>
      <c r="D22" s="100"/>
      <c r="E22" s="101"/>
      <c r="F22" s="101"/>
      <c r="G22" s="101"/>
      <c r="H22" s="101"/>
      <c r="I22" s="101"/>
      <c r="J22" s="101"/>
      <c r="K22" s="102"/>
      <c r="L22" s="96"/>
    </row>
    <row r="23" s="86" customFormat="1" ht="36" outlineLevel="2" spans="1:14">
      <c r="A23" s="103">
        <f t="shared" ref="A23:A27" si="8">1+N(A22)</f>
        <v>1</v>
      </c>
      <c r="B23" s="111" t="s">
        <v>509</v>
      </c>
      <c r="C23" s="99" t="s">
        <v>510</v>
      </c>
      <c r="D23" s="100" t="s">
        <v>65</v>
      </c>
      <c r="E23" s="101">
        <f>1.04*2</f>
        <v>2.08</v>
      </c>
      <c r="F23" s="101"/>
      <c r="G23" s="101"/>
      <c r="H23" s="101"/>
      <c r="I23" s="27">
        <f t="shared" ref="I23:I27" si="9">(F23+G23+H23)*$I$3</f>
        <v>0</v>
      </c>
      <c r="J23" s="28">
        <f t="shared" ref="J23:J27" si="10">ROUND(SUM(F23:I23),2)</f>
        <v>0</v>
      </c>
      <c r="K23" s="29">
        <f t="shared" ref="K23:K27" si="11">ROUND(J23*E23,2)</f>
        <v>0</v>
      </c>
      <c r="L23" s="96"/>
    </row>
    <row r="24" s="86" customFormat="1" ht="24" customHeight="1" spans="1:14">
      <c r="A24" s="92" t="s">
        <v>159</v>
      </c>
      <c r="B24" s="93" t="s">
        <v>511</v>
      </c>
      <c r="C24" s="93"/>
      <c r="D24" s="94"/>
      <c r="E24" s="95"/>
      <c r="F24" s="95"/>
      <c r="G24" s="95"/>
      <c r="H24" s="95"/>
      <c r="I24" s="95"/>
      <c r="J24" s="95"/>
      <c r="K24" s="23">
        <f>SUM(K25:K43)</f>
        <v>0</v>
      </c>
      <c r="L24" s="96"/>
      <c r="N24" s="112"/>
    </row>
    <row r="25" s="86" customFormat="1" ht="24" customHeight="1" outlineLevel="1" spans="1:14">
      <c r="A25" s="97"/>
      <c r="B25" s="98" t="s">
        <v>55</v>
      </c>
      <c r="C25" s="99"/>
      <c r="D25" s="100"/>
      <c r="E25" s="101"/>
      <c r="F25" s="101"/>
      <c r="G25" s="101"/>
      <c r="H25" s="101"/>
      <c r="I25" s="101"/>
      <c r="J25" s="101"/>
      <c r="K25" s="102"/>
      <c r="L25" s="96"/>
    </row>
    <row r="26" s="86" customFormat="1" ht="96" outlineLevel="2" spans="1:14">
      <c r="A26" s="103">
        <f t="shared" si="8"/>
        <v>1</v>
      </c>
      <c r="B26" s="98" t="s">
        <v>56</v>
      </c>
      <c r="C26" s="99" t="s">
        <v>57</v>
      </c>
      <c r="D26" s="100" t="s">
        <v>58</v>
      </c>
      <c r="E26" s="101">
        <v>2.337</v>
      </c>
      <c r="F26" s="101"/>
      <c r="G26" s="101"/>
      <c r="H26" s="27"/>
      <c r="I26" s="27">
        <f t="shared" si="9"/>
        <v>0</v>
      </c>
      <c r="J26" s="28">
        <f t="shared" si="10"/>
        <v>0</v>
      </c>
      <c r="K26" s="29">
        <f t="shared" si="11"/>
        <v>0</v>
      </c>
      <c r="L26" s="96"/>
    </row>
    <row r="27" s="86" customFormat="1" ht="48" outlineLevel="2" spans="1:14">
      <c r="A27" s="103">
        <f t="shared" si="8"/>
        <v>2</v>
      </c>
      <c r="B27" s="98" t="s">
        <v>66</v>
      </c>
      <c r="C27" s="99" t="s">
        <v>67</v>
      </c>
      <c r="D27" s="100" t="s">
        <v>58</v>
      </c>
      <c r="E27" s="101">
        <v>2.337</v>
      </c>
      <c r="F27" s="101"/>
      <c r="G27" s="101"/>
      <c r="H27" s="101"/>
      <c r="I27" s="27">
        <f t="shared" si="9"/>
        <v>0</v>
      </c>
      <c r="J27" s="28">
        <f t="shared" si="10"/>
        <v>0</v>
      </c>
      <c r="K27" s="29">
        <f t="shared" si="11"/>
        <v>0</v>
      </c>
      <c r="L27" s="96"/>
    </row>
    <row r="28" s="86" customFormat="1" ht="24" customHeight="1" outlineLevel="1" spans="1:14">
      <c r="A28" s="97"/>
      <c r="B28" s="98" t="s">
        <v>489</v>
      </c>
      <c r="C28" s="99"/>
      <c r="D28" s="100"/>
      <c r="E28" s="101"/>
      <c r="F28" s="101"/>
      <c r="G28" s="101"/>
      <c r="H28" s="101"/>
      <c r="I28" s="101"/>
      <c r="J28" s="101"/>
      <c r="K28" s="102"/>
      <c r="L28" s="96"/>
    </row>
    <row r="29" s="86" customFormat="1" ht="72" outlineLevel="2" spans="1:14">
      <c r="A29" s="103">
        <f t="shared" ref="A29:A35" si="12">1+N(A28)</f>
        <v>1</v>
      </c>
      <c r="B29" s="104" t="s">
        <v>490</v>
      </c>
      <c r="C29" s="99" t="s">
        <v>491</v>
      </c>
      <c r="D29" s="100" t="s">
        <v>58</v>
      </c>
      <c r="E29" s="101">
        <v>2.738</v>
      </c>
      <c r="F29" s="101"/>
      <c r="G29" s="101"/>
      <c r="H29" s="101"/>
      <c r="I29" s="27">
        <f t="shared" ref="I29:I35" si="13">(F29+G29+H29)*$I$3</f>
        <v>0</v>
      </c>
      <c r="J29" s="28">
        <f t="shared" ref="J29:J35" si="14">ROUND(SUM(F29:I29),2)</f>
        <v>0</v>
      </c>
      <c r="K29" s="29">
        <f t="shared" ref="K29:K35" si="15">ROUND(J29*E29,2)</f>
        <v>0</v>
      </c>
      <c r="L29" s="96"/>
    </row>
    <row r="30" s="86" customFormat="1" ht="36" outlineLevel="2" spans="1:14">
      <c r="A30" s="103">
        <f t="shared" si="12"/>
        <v>2</v>
      </c>
      <c r="B30" s="104" t="s">
        <v>126</v>
      </c>
      <c r="C30" s="99" t="s">
        <v>492</v>
      </c>
      <c r="D30" s="100" t="s">
        <v>58</v>
      </c>
      <c r="E30" s="101">
        <f>2.415+(0.547*1.05+0.037*2.13+0.054*1.05)*2</f>
        <v>3.83472</v>
      </c>
      <c r="F30" s="101"/>
      <c r="G30" s="101"/>
      <c r="H30" s="101"/>
      <c r="I30" s="27">
        <f t="shared" si="13"/>
        <v>0</v>
      </c>
      <c r="J30" s="28">
        <f t="shared" si="14"/>
        <v>0</v>
      </c>
      <c r="K30" s="29">
        <f t="shared" si="15"/>
        <v>0</v>
      </c>
      <c r="L30" s="96"/>
    </row>
    <row r="31" s="86" customFormat="1" ht="60" customHeight="1" outlineLevel="2" spans="1:14">
      <c r="A31" s="103">
        <f t="shared" si="12"/>
        <v>3</v>
      </c>
      <c r="B31" s="104" t="s">
        <v>493</v>
      </c>
      <c r="C31" s="99" t="s">
        <v>494</v>
      </c>
      <c r="D31" s="100" t="s">
        <v>58</v>
      </c>
      <c r="E31" s="101">
        <v>7.332</v>
      </c>
      <c r="F31" s="101"/>
      <c r="G31" s="101"/>
      <c r="H31" s="101"/>
      <c r="I31" s="27">
        <f t="shared" si="13"/>
        <v>0</v>
      </c>
      <c r="J31" s="28">
        <f t="shared" si="14"/>
        <v>0</v>
      </c>
      <c r="K31" s="29">
        <f t="shared" si="15"/>
        <v>0</v>
      </c>
      <c r="L31" s="96"/>
    </row>
    <row r="32" s="86" customFormat="1" ht="48" outlineLevel="2" spans="1:14">
      <c r="A32" s="103">
        <f t="shared" si="12"/>
        <v>4</v>
      </c>
      <c r="B32" s="105" t="s">
        <v>495</v>
      </c>
      <c r="C32" s="106" t="s">
        <v>496</v>
      </c>
      <c r="D32" s="105" t="s">
        <v>65</v>
      </c>
      <c r="E32" s="101">
        <v>4.47</v>
      </c>
      <c r="F32" s="101"/>
      <c r="G32" s="101"/>
      <c r="H32" s="101"/>
      <c r="I32" s="27">
        <f t="shared" si="13"/>
        <v>0</v>
      </c>
      <c r="J32" s="28">
        <f t="shared" si="14"/>
        <v>0</v>
      </c>
      <c r="K32" s="29">
        <f t="shared" si="15"/>
        <v>0</v>
      </c>
      <c r="L32" s="96"/>
    </row>
    <row r="33" s="86" customFormat="1" ht="36" outlineLevel="2" spans="1:14">
      <c r="A33" s="103">
        <f t="shared" si="12"/>
        <v>5</v>
      </c>
      <c r="B33" s="105" t="s">
        <v>497</v>
      </c>
      <c r="C33" s="106" t="s">
        <v>498</v>
      </c>
      <c r="D33" s="105" t="s">
        <v>65</v>
      </c>
      <c r="E33" s="101">
        <v>5.17</v>
      </c>
      <c r="F33" s="101"/>
      <c r="G33" s="101"/>
      <c r="H33" s="101"/>
      <c r="I33" s="27">
        <f t="shared" si="13"/>
        <v>0</v>
      </c>
      <c r="J33" s="28">
        <f t="shared" si="14"/>
        <v>0</v>
      </c>
      <c r="K33" s="29">
        <f t="shared" si="15"/>
        <v>0</v>
      </c>
      <c r="L33" s="96"/>
    </row>
    <row r="34" s="86" customFormat="1" ht="36" outlineLevel="2" spans="1:14">
      <c r="A34" s="103">
        <f t="shared" si="12"/>
        <v>6</v>
      </c>
      <c r="B34" s="105" t="s">
        <v>499</v>
      </c>
      <c r="C34" s="106" t="s">
        <v>500</v>
      </c>
      <c r="D34" s="105" t="s">
        <v>65</v>
      </c>
      <c r="E34" s="101">
        <v>5.17</v>
      </c>
      <c r="F34" s="101"/>
      <c r="G34" s="101"/>
      <c r="H34" s="101"/>
      <c r="I34" s="27">
        <f t="shared" si="13"/>
        <v>0</v>
      </c>
      <c r="J34" s="28">
        <f t="shared" si="14"/>
        <v>0</v>
      </c>
      <c r="K34" s="29">
        <f t="shared" si="15"/>
        <v>0</v>
      </c>
      <c r="L34" s="96"/>
    </row>
    <row r="35" s="86" customFormat="1" ht="48" outlineLevel="2" spans="1:14">
      <c r="A35" s="103">
        <f t="shared" si="12"/>
        <v>7</v>
      </c>
      <c r="B35" s="105" t="s">
        <v>501</v>
      </c>
      <c r="C35" s="106" t="s">
        <v>502</v>
      </c>
      <c r="D35" s="105" t="s">
        <v>65</v>
      </c>
      <c r="E35" s="101">
        <f>6.78+3.394+10.06+2.585*2</f>
        <v>25.404</v>
      </c>
      <c r="F35" s="101"/>
      <c r="G35" s="101"/>
      <c r="H35" s="101"/>
      <c r="I35" s="27">
        <f t="shared" si="13"/>
        <v>0</v>
      </c>
      <c r="J35" s="28">
        <f t="shared" si="14"/>
        <v>0</v>
      </c>
      <c r="K35" s="29">
        <f t="shared" si="15"/>
        <v>0</v>
      </c>
      <c r="L35" s="96"/>
    </row>
    <row r="36" s="86" customFormat="1" ht="24" customHeight="1" outlineLevel="1" spans="1:14">
      <c r="A36" s="97"/>
      <c r="B36" s="98" t="s">
        <v>96</v>
      </c>
      <c r="C36" s="99"/>
      <c r="D36" s="100"/>
      <c r="E36" s="101"/>
      <c r="F36" s="101"/>
      <c r="G36" s="101"/>
      <c r="H36" s="101"/>
      <c r="I36" s="101"/>
      <c r="J36" s="101"/>
      <c r="K36" s="102"/>
      <c r="L36" s="96"/>
    </row>
    <row r="37" s="86" customFormat="1" ht="84" outlineLevel="2" spans="1:14">
      <c r="A37" s="103">
        <f t="shared" ref="A37:A41" si="16">1+N(A36)</f>
        <v>1</v>
      </c>
      <c r="B37" s="98" t="s">
        <v>380</v>
      </c>
      <c r="C37" s="108" t="s">
        <v>381</v>
      </c>
      <c r="D37" s="100" t="s">
        <v>58</v>
      </c>
      <c r="E37" s="101">
        <v>2.096</v>
      </c>
      <c r="F37" s="101"/>
      <c r="G37" s="101"/>
      <c r="H37" s="101"/>
      <c r="I37" s="27">
        <f t="shared" ref="I37:I41" si="17">(F37+G37+H37)*$I$3</f>
        <v>0</v>
      </c>
      <c r="J37" s="28">
        <f t="shared" ref="J37:J41" si="18">ROUND(SUM(F37:I37),2)</f>
        <v>0</v>
      </c>
      <c r="K37" s="29">
        <f t="shared" ref="K37:K41" si="19">ROUND(J37*E37,2)</f>
        <v>0</v>
      </c>
      <c r="L37" s="96"/>
    </row>
    <row r="38" s="86" customFormat="1" ht="72" customHeight="1" outlineLevel="2" spans="1:14">
      <c r="A38" s="103">
        <f t="shared" si="16"/>
        <v>2</v>
      </c>
      <c r="B38" s="98" t="s">
        <v>503</v>
      </c>
      <c r="C38" s="108" t="s">
        <v>504</v>
      </c>
      <c r="D38" s="100" t="s">
        <v>65</v>
      </c>
      <c r="E38" s="101">
        <v>5.26</v>
      </c>
      <c r="F38" s="101"/>
      <c r="G38" s="101"/>
      <c r="H38" s="101"/>
      <c r="I38" s="27">
        <f t="shared" si="17"/>
        <v>0</v>
      </c>
      <c r="J38" s="28">
        <f t="shared" si="18"/>
        <v>0</v>
      </c>
      <c r="K38" s="29">
        <f t="shared" si="19"/>
        <v>0</v>
      </c>
      <c r="L38" s="96"/>
    </row>
    <row r="39" s="86" customFormat="1" ht="72" customHeight="1" outlineLevel="2" spans="1:14">
      <c r="A39" s="103">
        <f t="shared" si="16"/>
        <v>3</v>
      </c>
      <c r="B39" s="98" t="s">
        <v>505</v>
      </c>
      <c r="C39" s="99" t="s">
        <v>506</v>
      </c>
      <c r="D39" s="100" t="s">
        <v>65</v>
      </c>
      <c r="E39" s="101">
        <f>1.25*2</f>
        <v>2.5</v>
      </c>
      <c r="F39" s="101"/>
      <c r="G39" s="101"/>
      <c r="H39" s="101"/>
      <c r="I39" s="27">
        <f t="shared" si="17"/>
        <v>0</v>
      </c>
      <c r="J39" s="28">
        <f t="shared" si="18"/>
        <v>0</v>
      </c>
      <c r="K39" s="29">
        <f t="shared" si="19"/>
        <v>0</v>
      </c>
      <c r="L39" s="96"/>
    </row>
    <row r="40" s="86" customFormat="1" ht="72" customHeight="1" outlineLevel="2" spans="1:14">
      <c r="A40" s="103">
        <f t="shared" si="16"/>
        <v>4</v>
      </c>
      <c r="B40" s="98" t="s">
        <v>105</v>
      </c>
      <c r="C40" s="99" t="s">
        <v>106</v>
      </c>
      <c r="D40" s="100" t="s">
        <v>58</v>
      </c>
      <c r="E40" s="101">
        <v>1.146</v>
      </c>
      <c r="F40" s="101"/>
      <c r="G40" s="101"/>
      <c r="H40" s="101"/>
      <c r="I40" s="27">
        <f t="shared" si="17"/>
        <v>0</v>
      </c>
      <c r="J40" s="28">
        <f t="shared" si="18"/>
        <v>0</v>
      </c>
      <c r="K40" s="29">
        <f t="shared" si="19"/>
        <v>0</v>
      </c>
      <c r="L40" s="96"/>
    </row>
    <row r="41" s="86" customFormat="1" ht="72" customHeight="1" outlineLevel="2" spans="1:14">
      <c r="A41" s="103">
        <f t="shared" si="16"/>
        <v>5</v>
      </c>
      <c r="B41" s="98" t="s">
        <v>507</v>
      </c>
      <c r="C41" s="106" t="s">
        <v>508</v>
      </c>
      <c r="D41" s="100" t="s">
        <v>65</v>
      </c>
      <c r="E41" s="101">
        <v>2.46</v>
      </c>
      <c r="F41" s="101"/>
      <c r="G41" s="101"/>
      <c r="H41" s="101"/>
      <c r="I41" s="27">
        <f t="shared" si="17"/>
        <v>0</v>
      </c>
      <c r="J41" s="28">
        <f t="shared" si="18"/>
        <v>0</v>
      </c>
      <c r="K41" s="29">
        <f t="shared" si="19"/>
        <v>0</v>
      </c>
      <c r="L41" s="96"/>
      <c r="N41" s="110"/>
    </row>
    <row r="42" s="86" customFormat="1" ht="24" customHeight="1" outlineLevel="1" spans="1:14">
      <c r="A42" s="97"/>
      <c r="B42" s="98" t="s">
        <v>107</v>
      </c>
      <c r="C42" s="99"/>
      <c r="D42" s="100"/>
      <c r="E42" s="101"/>
      <c r="F42" s="101"/>
      <c r="G42" s="101"/>
      <c r="H42" s="101"/>
      <c r="I42" s="101"/>
      <c r="J42" s="101"/>
      <c r="K42" s="102"/>
      <c r="L42" s="96"/>
    </row>
    <row r="43" s="86" customFormat="1" ht="36" outlineLevel="2" spans="1:14">
      <c r="A43" s="103">
        <f>1+N(A42)</f>
        <v>1</v>
      </c>
      <c r="B43" s="111" t="s">
        <v>509</v>
      </c>
      <c r="C43" s="99" t="s">
        <v>510</v>
      </c>
      <c r="D43" s="100" t="s">
        <v>65</v>
      </c>
      <c r="E43" s="101">
        <f>1.04*2</f>
        <v>2.08</v>
      </c>
      <c r="F43" s="101"/>
      <c r="G43" s="101"/>
      <c r="H43" s="101"/>
      <c r="I43" s="27">
        <f>(F43+G43+H43)*$I$3</f>
        <v>0</v>
      </c>
      <c r="J43" s="28">
        <f>ROUND(SUM(F43:I43),2)</f>
        <v>0</v>
      </c>
      <c r="K43" s="29">
        <f>ROUND(J43*E43,2)</f>
        <v>0</v>
      </c>
      <c r="L43" s="96"/>
    </row>
    <row r="44" s="2" customFormat="1" ht="24" customHeight="1" spans="1:14">
      <c r="A44" s="21"/>
      <c r="B44" s="21" t="s">
        <v>488</v>
      </c>
      <c r="C44" s="21"/>
      <c r="D44" s="21"/>
      <c r="E44" s="109"/>
      <c r="F44" s="109"/>
      <c r="G44" s="109"/>
      <c r="H44" s="109"/>
      <c r="I44" s="109"/>
      <c r="J44" s="109"/>
      <c r="K44" s="23">
        <f>+K4+K24</f>
        <v>0</v>
      </c>
      <c r="L44" s="96"/>
    </row>
  </sheetData>
  <autoFilter xmlns:etc="http://www.wps.cn/officeDocument/2017/etCustomData" ref="A2:L44" etc:filterBottomFollowUsedRange="0">
    <extLst/>
  </autoFilter>
  <mergeCells count="12">
    <mergeCell ref="A1:L1"/>
    <mergeCell ref="A2:A3"/>
    <mergeCell ref="B2:B3"/>
    <mergeCell ref="C2:C3"/>
    <mergeCell ref="D2:D3"/>
    <mergeCell ref="E2:E3"/>
    <mergeCell ref="F2:F3"/>
    <mergeCell ref="G2:G3"/>
    <mergeCell ref="H2:H3"/>
    <mergeCell ref="J2:J3"/>
    <mergeCell ref="K2:K3"/>
    <mergeCell ref="L2:L3"/>
  </mergeCells>
  <conditionalFormatting sqref="B5">
    <cfRule type="duplicateValues" dxfId="0" priority="30"/>
  </conditionalFormatting>
  <conditionalFormatting sqref="B6">
    <cfRule type="duplicateValues" dxfId="0" priority="29"/>
  </conditionalFormatting>
  <conditionalFormatting sqref="B7">
    <cfRule type="duplicateValues" dxfId="0" priority="28"/>
  </conditionalFormatting>
  <conditionalFormatting sqref="B8">
    <cfRule type="duplicateValues" dxfId="0" priority="27"/>
  </conditionalFormatting>
  <conditionalFormatting sqref="B11">
    <cfRule type="duplicateValues" dxfId="0" priority="23"/>
  </conditionalFormatting>
  <conditionalFormatting sqref="B12">
    <cfRule type="duplicateValues" dxfId="0" priority="24"/>
  </conditionalFormatting>
  <conditionalFormatting sqref="B15">
    <cfRule type="duplicateValues" dxfId="0" priority="18"/>
  </conditionalFormatting>
  <conditionalFormatting sqref="B16">
    <cfRule type="duplicateValues" dxfId="0" priority="22"/>
  </conditionalFormatting>
  <conditionalFormatting sqref="B17">
    <cfRule type="duplicateValues" dxfId="0" priority="20"/>
  </conditionalFormatting>
  <conditionalFormatting sqref="B18">
    <cfRule type="duplicateValues" dxfId="0" priority="19"/>
  </conditionalFormatting>
  <conditionalFormatting sqref="B22">
    <cfRule type="duplicateValues" dxfId="0" priority="17"/>
  </conditionalFormatting>
  <conditionalFormatting sqref="B23">
    <cfRule type="duplicateValues" dxfId="0" priority="16"/>
  </conditionalFormatting>
  <conditionalFormatting sqref="B24">
    <cfRule type="duplicateValues" dxfId="0" priority="31"/>
  </conditionalFormatting>
  <conditionalFormatting sqref="B25">
    <cfRule type="duplicateValues" dxfId="0" priority="15"/>
  </conditionalFormatting>
  <conditionalFormatting sqref="B26">
    <cfRule type="duplicateValues" dxfId="0" priority="14"/>
  </conditionalFormatting>
  <conditionalFormatting sqref="B27">
    <cfRule type="duplicateValues" dxfId="0" priority="13"/>
  </conditionalFormatting>
  <conditionalFormatting sqref="B28">
    <cfRule type="duplicateValues" dxfId="0" priority="12"/>
  </conditionalFormatting>
  <conditionalFormatting sqref="B31">
    <cfRule type="duplicateValues" dxfId="0" priority="8"/>
  </conditionalFormatting>
  <conditionalFormatting sqref="B32">
    <cfRule type="duplicateValues" dxfId="0" priority="9"/>
  </conditionalFormatting>
  <conditionalFormatting sqref="B35">
    <cfRule type="duplicateValues" dxfId="0" priority="3"/>
  </conditionalFormatting>
  <conditionalFormatting sqref="B36">
    <cfRule type="duplicateValues" dxfId="0" priority="7"/>
  </conditionalFormatting>
  <conditionalFormatting sqref="B37">
    <cfRule type="duplicateValues" dxfId="0" priority="5"/>
  </conditionalFormatting>
  <conditionalFormatting sqref="B38">
    <cfRule type="duplicateValues" dxfId="0" priority="4"/>
  </conditionalFormatting>
  <conditionalFormatting sqref="B42">
    <cfRule type="duplicateValues" dxfId="0" priority="2"/>
  </conditionalFormatting>
  <conditionalFormatting sqref="B43">
    <cfRule type="duplicateValues" dxfId="0" priority="1"/>
  </conditionalFormatting>
  <conditionalFormatting sqref="B44">
    <cfRule type="duplicateValues" dxfId="0" priority="32"/>
  </conditionalFormatting>
  <conditionalFormatting sqref="B9:B10">
    <cfRule type="duplicateValues" dxfId="0" priority="26"/>
  </conditionalFormatting>
  <conditionalFormatting sqref="B13:B14">
    <cfRule type="duplicateValues" dxfId="0" priority="25"/>
  </conditionalFormatting>
  <conditionalFormatting sqref="B19:B21">
    <cfRule type="duplicateValues" dxfId="0" priority="21"/>
  </conditionalFormatting>
  <conditionalFormatting sqref="B29:B30">
    <cfRule type="duplicateValues" dxfId="0" priority="11"/>
  </conditionalFormatting>
  <conditionalFormatting sqref="B33:B34">
    <cfRule type="duplicateValues" dxfId="0" priority="10"/>
  </conditionalFormatting>
  <conditionalFormatting sqref="B39:B41">
    <cfRule type="duplicateValues" dxfId="0" priority="6"/>
  </conditionalFormatting>
  <conditionalFormatting sqref="B2 B4">
    <cfRule type="duplicateValues" dxfId="0" priority="33"/>
  </conditionalFormatting>
  <printOptions horizontalCentered="1"/>
  <pageMargins left="0.472222222222222" right="0.472222222222222" top="0.590277777777778" bottom="0.590277777777778" header="0.393055555555556" footer="0.393055555555556"/>
  <pageSetup paperSize="9" scale="74" fitToHeight="0" orientation="landscape" blackAndWhite="1"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P302"/>
  <sheetViews>
    <sheetView view="pageBreakPreview" zoomScaleNormal="100" workbookViewId="0">
      <selection activeCell="F2" sqref="F2:H3"/>
    </sheetView>
  </sheetViews>
  <sheetFormatPr defaultColWidth="10" defaultRowHeight="11.25"/>
  <cols>
    <col min="1" max="1" width="6.98333333333333" style="1" customWidth="1"/>
    <col min="2" max="2" width="24.1083333333333" style="3" customWidth="1"/>
    <col min="3" max="3" width="49" style="1" customWidth="1"/>
    <col min="4" max="4" width="5.63333333333333" style="87" customWidth="1"/>
    <col min="5" max="5" width="12.3833333333333" style="88" customWidth="1"/>
    <col min="6" max="9" width="12.3833333333333" style="88" customWidth="1" outlineLevel="1"/>
    <col min="10" max="10" width="12.6333333333333" style="88" customWidth="1"/>
    <col min="11" max="11" width="15.1333333333333" style="89" customWidth="1"/>
    <col min="12" max="12" width="11.5" style="6" customWidth="1"/>
    <col min="13" max="13" width="5.38333333333333" style="1" customWidth="1"/>
    <col min="14" max="14" width="12.5" style="1" customWidth="1"/>
    <col min="15" max="15" width="10" style="1"/>
    <col min="16" max="16" width="10" style="1" hidden="1" customWidth="1"/>
    <col min="17" max="16384" width="10" style="1"/>
  </cols>
  <sheetData>
    <row r="1" s="1" customFormat="1" ht="48" customHeight="1" spans="1:16">
      <c r="A1" s="7" t="s">
        <v>40</v>
      </c>
      <c r="B1" s="8"/>
      <c r="C1" s="9"/>
      <c r="D1" s="9"/>
      <c r="E1" s="90"/>
      <c r="F1" s="90"/>
      <c r="G1" s="90"/>
      <c r="H1" s="90"/>
      <c r="I1" s="90"/>
      <c r="J1" s="90"/>
      <c r="K1" s="91"/>
      <c r="L1" s="9"/>
    </row>
    <row r="2" s="2" customFormat="1" ht="24" customHeight="1" spans="1:16">
      <c r="A2" s="12" t="s">
        <v>17</v>
      </c>
      <c r="B2" s="12" t="s">
        <v>41</v>
      </c>
      <c r="C2" s="12" t="s">
        <v>42</v>
      </c>
      <c r="D2" s="12" t="s">
        <v>43</v>
      </c>
      <c r="E2" s="13" t="s">
        <v>44</v>
      </c>
      <c r="F2" s="14" t="s">
        <v>45</v>
      </c>
      <c r="G2" s="14" t="s">
        <v>46</v>
      </c>
      <c r="H2" s="14" t="s">
        <v>47</v>
      </c>
      <c r="I2" s="15" t="s">
        <v>48</v>
      </c>
      <c r="J2" s="14" t="s">
        <v>49</v>
      </c>
      <c r="K2" s="16" t="s">
        <v>50</v>
      </c>
      <c r="L2" s="12" t="s">
        <v>24</v>
      </c>
    </row>
    <row r="3" s="2" customFormat="1" ht="12" customHeight="1" spans="1:16">
      <c r="A3" s="17"/>
      <c r="B3" s="17"/>
      <c r="C3" s="17"/>
      <c r="D3" s="17"/>
      <c r="E3" s="18"/>
      <c r="F3" s="19"/>
      <c r="G3" s="19"/>
      <c r="H3" s="19"/>
      <c r="I3" s="15"/>
      <c r="J3" s="19"/>
      <c r="K3" s="20"/>
      <c r="L3" s="17"/>
    </row>
    <row r="4" s="86" customFormat="1" ht="24" customHeight="1" spans="1:16">
      <c r="A4" s="92" t="s">
        <v>52</v>
      </c>
      <c r="B4" s="93" t="s">
        <v>512</v>
      </c>
      <c r="C4" s="93"/>
      <c r="D4" s="94"/>
      <c r="E4" s="95"/>
      <c r="F4" s="95"/>
      <c r="G4" s="95"/>
      <c r="H4" s="95"/>
      <c r="I4" s="95"/>
      <c r="J4" s="95"/>
      <c r="K4" s="23">
        <f>SUM(K5:K104)</f>
        <v>0</v>
      </c>
      <c r="L4" s="96"/>
    </row>
    <row r="5" s="86" customFormat="1" ht="24" customHeight="1" outlineLevel="1" spans="1:16">
      <c r="A5" s="92" t="s">
        <v>53</v>
      </c>
      <c r="B5" s="93" t="s">
        <v>513</v>
      </c>
      <c r="C5" s="93"/>
      <c r="D5" s="94"/>
      <c r="E5" s="95"/>
      <c r="F5" s="95"/>
      <c r="G5" s="95"/>
      <c r="H5" s="95"/>
      <c r="I5" s="95"/>
      <c r="J5" s="95"/>
      <c r="K5" s="23"/>
      <c r="L5" s="96"/>
    </row>
    <row r="6" s="86" customFormat="1" ht="24" customHeight="1" outlineLevel="1" spans="1:16">
      <c r="A6" s="97"/>
      <c r="B6" s="98" t="s">
        <v>55</v>
      </c>
      <c r="C6" s="99"/>
      <c r="D6" s="100"/>
      <c r="E6" s="101"/>
      <c r="F6" s="101"/>
      <c r="G6" s="101"/>
      <c r="H6" s="101"/>
      <c r="I6" s="101"/>
      <c r="J6" s="101"/>
      <c r="K6" s="102"/>
      <c r="L6" s="96"/>
    </row>
    <row r="7" s="86" customFormat="1" ht="96" outlineLevel="2" spans="1:16">
      <c r="A7" s="103">
        <f t="shared" ref="A7:A10" si="0">1+N(A6)</f>
        <v>1</v>
      </c>
      <c r="B7" s="98" t="s">
        <v>56</v>
      </c>
      <c r="C7" s="99" t="s">
        <v>57</v>
      </c>
      <c r="D7" s="100" t="s">
        <v>58</v>
      </c>
      <c r="E7" s="101">
        <v>10.765</v>
      </c>
      <c r="F7" s="101"/>
      <c r="G7" s="101"/>
      <c r="H7" s="27"/>
      <c r="I7" s="27">
        <f t="shared" ref="I7:I10" si="1">(F7+G7+H7)*$I$3</f>
        <v>0</v>
      </c>
      <c r="J7" s="28">
        <f t="shared" ref="J7:J10" si="2">ROUND(SUM(F7:I7),2)</f>
        <v>0</v>
      </c>
      <c r="K7" s="29">
        <f t="shared" ref="K7:K10" si="3">ROUND(J7*E7,2)</f>
        <v>0</v>
      </c>
      <c r="L7" s="96"/>
      <c r="P7" s="86">
        <v>1</v>
      </c>
    </row>
    <row r="8" s="86" customFormat="1" ht="108" outlineLevel="2" spans="1:16">
      <c r="A8" s="103">
        <f t="shared" si="0"/>
        <v>2</v>
      </c>
      <c r="B8" s="98" t="s">
        <v>59</v>
      </c>
      <c r="C8" s="99" t="s">
        <v>60</v>
      </c>
      <c r="D8" s="100" t="s">
        <v>58</v>
      </c>
      <c r="E8" s="101">
        <v>16.519</v>
      </c>
      <c r="F8" s="101"/>
      <c r="G8" s="101"/>
      <c r="H8" s="101"/>
      <c r="I8" s="27">
        <f t="shared" si="1"/>
        <v>0</v>
      </c>
      <c r="J8" s="28">
        <f t="shared" si="2"/>
        <v>0</v>
      </c>
      <c r="K8" s="29">
        <f t="shared" si="3"/>
        <v>0</v>
      </c>
      <c r="L8" s="96"/>
      <c r="P8" s="86">
        <v>1</v>
      </c>
    </row>
    <row r="9" s="86" customFormat="1" ht="36" outlineLevel="2" spans="1:16">
      <c r="A9" s="103">
        <f t="shared" si="0"/>
        <v>3</v>
      </c>
      <c r="B9" s="98" t="s">
        <v>63</v>
      </c>
      <c r="C9" s="99" t="s">
        <v>64</v>
      </c>
      <c r="D9" s="100" t="s">
        <v>65</v>
      </c>
      <c r="E9" s="101">
        <v>17.264</v>
      </c>
      <c r="F9" s="101"/>
      <c r="G9" s="101"/>
      <c r="H9" s="101"/>
      <c r="I9" s="27">
        <f t="shared" si="1"/>
        <v>0</v>
      </c>
      <c r="J9" s="28">
        <f t="shared" si="2"/>
        <v>0</v>
      </c>
      <c r="K9" s="29">
        <f t="shared" si="3"/>
        <v>0</v>
      </c>
      <c r="L9" s="96"/>
    </row>
    <row r="10" s="86" customFormat="1" ht="48" outlineLevel="2" spans="1:16">
      <c r="A10" s="103">
        <f t="shared" si="0"/>
        <v>4</v>
      </c>
      <c r="B10" s="98" t="s">
        <v>66</v>
      </c>
      <c r="C10" s="99" t="s">
        <v>67</v>
      </c>
      <c r="D10" s="100" t="s">
        <v>58</v>
      </c>
      <c r="E10" s="101">
        <f>+E7+E8</f>
        <v>27.284</v>
      </c>
      <c r="F10" s="101"/>
      <c r="G10" s="101"/>
      <c r="H10" s="101"/>
      <c r="I10" s="27">
        <f t="shared" si="1"/>
        <v>0</v>
      </c>
      <c r="J10" s="28">
        <f t="shared" si="2"/>
        <v>0</v>
      </c>
      <c r="K10" s="29">
        <f t="shared" si="3"/>
        <v>0</v>
      </c>
      <c r="L10" s="96"/>
    </row>
    <row r="11" s="86" customFormat="1" ht="24" customHeight="1" outlineLevel="1" spans="1:16">
      <c r="A11" s="97"/>
      <c r="B11" s="98" t="s">
        <v>489</v>
      </c>
      <c r="C11" s="99"/>
      <c r="D11" s="100"/>
      <c r="E11" s="101"/>
      <c r="F11" s="101"/>
      <c r="G11" s="101"/>
      <c r="H11" s="101"/>
      <c r="I11" s="101"/>
      <c r="J11" s="101"/>
      <c r="K11" s="102"/>
      <c r="L11" s="96"/>
    </row>
    <row r="12" s="86" customFormat="1" ht="72" outlineLevel="2" spans="1:16">
      <c r="A12" s="103">
        <f t="shared" ref="A12:A23" si="4">1+N(A11)</f>
        <v>1</v>
      </c>
      <c r="B12" s="104" t="s">
        <v>69</v>
      </c>
      <c r="C12" s="99" t="s">
        <v>70</v>
      </c>
      <c r="D12" s="100" t="s">
        <v>58</v>
      </c>
      <c r="E12" s="101">
        <v>6.099</v>
      </c>
      <c r="F12" s="101"/>
      <c r="G12" s="101"/>
      <c r="H12" s="101"/>
      <c r="I12" s="27">
        <f t="shared" ref="I12:I23" si="5">(F12+G12+H12)*$I$3</f>
        <v>0</v>
      </c>
      <c r="J12" s="28">
        <f t="shared" ref="J12:J23" si="6">ROUND(SUM(F12:I12),2)</f>
        <v>0</v>
      </c>
      <c r="K12" s="29">
        <f t="shared" ref="K12:K23" si="7">ROUND(J12*E12,2)</f>
        <v>0</v>
      </c>
      <c r="L12" s="96"/>
    </row>
    <row r="13" s="86" customFormat="1" ht="96" outlineLevel="2" spans="1:16">
      <c r="A13" s="103">
        <f t="shared" si="4"/>
        <v>2</v>
      </c>
      <c r="B13" s="105" t="s">
        <v>71</v>
      </c>
      <c r="C13" s="106" t="s">
        <v>72</v>
      </c>
      <c r="D13" s="100" t="s">
        <v>58</v>
      </c>
      <c r="E13" s="101">
        <v>27.664</v>
      </c>
      <c r="F13" s="101"/>
      <c r="G13" s="101"/>
      <c r="H13" s="101"/>
      <c r="I13" s="27">
        <f t="shared" si="5"/>
        <v>0</v>
      </c>
      <c r="J13" s="28">
        <f t="shared" si="6"/>
        <v>0</v>
      </c>
      <c r="K13" s="29">
        <f t="shared" si="7"/>
        <v>0</v>
      </c>
      <c r="L13" s="96"/>
    </row>
    <row r="14" s="86" customFormat="1" ht="60" customHeight="1" outlineLevel="2" spans="1:16">
      <c r="A14" s="103">
        <f t="shared" si="4"/>
        <v>3</v>
      </c>
      <c r="B14" s="98" t="s">
        <v>221</v>
      </c>
      <c r="C14" s="99" t="s">
        <v>220</v>
      </c>
      <c r="D14" s="100" t="s">
        <v>58</v>
      </c>
      <c r="E14" s="101">
        <v>5.421</v>
      </c>
      <c r="F14" s="101"/>
      <c r="G14" s="101"/>
      <c r="H14" s="101"/>
      <c r="I14" s="27">
        <f t="shared" si="5"/>
        <v>0</v>
      </c>
      <c r="J14" s="28">
        <f t="shared" si="6"/>
        <v>0</v>
      </c>
      <c r="K14" s="29">
        <f t="shared" si="7"/>
        <v>0</v>
      </c>
      <c r="L14" s="96"/>
    </row>
    <row r="15" s="86" customFormat="1" ht="72" outlineLevel="2" spans="1:16">
      <c r="A15" s="103">
        <f t="shared" si="4"/>
        <v>4</v>
      </c>
      <c r="B15" s="107" t="s">
        <v>223</v>
      </c>
      <c r="C15" s="99" t="s">
        <v>224</v>
      </c>
      <c r="D15" s="100" t="s">
        <v>58</v>
      </c>
      <c r="E15" s="101">
        <v>29.816</v>
      </c>
      <c r="F15" s="101"/>
      <c r="G15" s="101"/>
      <c r="H15" s="101"/>
      <c r="I15" s="27">
        <f t="shared" si="5"/>
        <v>0</v>
      </c>
      <c r="J15" s="28">
        <f t="shared" si="6"/>
        <v>0</v>
      </c>
      <c r="K15" s="29">
        <f t="shared" si="7"/>
        <v>0</v>
      </c>
      <c r="L15" s="96"/>
    </row>
    <row r="16" s="86" customFormat="1" ht="48" outlineLevel="2" spans="1:16">
      <c r="A16" s="103">
        <f t="shared" si="4"/>
        <v>5</v>
      </c>
      <c r="B16" s="105" t="s">
        <v>77</v>
      </c>
      <c r="C16" s="106" t="s">
        <v>78</v>
      </c>
      <c r="D16" s="105" t="s">
        <v>58</v>
      </c>
      <c r="E16" s="101">
        <f>0.21*2.2*2+0.15*1.11</f>
        <v>1.0905</v>
      </c>
      <c r="F16" s="101"/>
      <c r="G16" s="101"/>
      <c r="H16" s="101"/>
      <c r="I16" s="27">
        <f t="shared" si="5"/>
        <v>0</v>
      </c>
      <c r="J16" s="28">
        <f t="shared" si="6"/>
        <v>0</v>
      </c>
      <c r="K16" s="29">
        <f t="shared" si="7"/>
        <v>0</v>
      </c>
      <c r="L16" s="96"/>
    </row>
    <row r="17" s="86" customFormat="1" ht="48" outlineLevel="2" spans="1:12">
      <c r="A17" s="103">
        <f t="shared" si="4"/>
        <v>6</v>
      </c>
      <c r="B17" s="105" t="s">
        <v>79</v>
      </c>
      <c r="C17" s="106" t="s">
        <v>78</v>
      </c>
      <c r="D17" s="105" t="s">
        <v>58</v>
      </c>
      <c r="E17" s="101">
        <f>0.34*2.75*2*2</f>
        <v>3.74</v>
      </c>
      <c r="F17" s="101"/>
      <c r="G17" s="101"/>
      <c r="H17" s="101"/>
      <c r="I17" s="27">
        <f t="shared" si="5"/>
        <v>0</v>
      </c>
      <c r="J17" s="28">
        <f t="shared" si="6"/>
        <v>0</v>
      </c>
      <c r="K17" s="29">
        <f t="shared" si="7"/>
        <v>0</v>
      </c>
      <c r="L17" s="96"/>
    </row>
    <row r="18" s="86" customFormat="1" ht="60" outlineLevel="2" spans="1:12">
      <c r="A18" s="103">
        <f t="shared" si="4"/>
        <v>7</v>
      </c>
      <c r="B18" s="105" t="s">
        <v>80</v>
      </c>
      <c r="C18" s="106" t="s">
        <v>81</v>
      </c>
      <c r="D18" s="105" t="s">
        <v>58</v>
      </c>
      <c r="E18" s="101">
        <f>+(0.061+0.475+0.114+0.074)*0.95*2</f>
        <v>1.3756</v>
      </c>
      <c r="F18" s="101"/>
      <c r="G18" s="101"/>
      <c r="H18" s="101"/>
      <c r="I18" s="27">
        <f t="shared" si="5"/>
        <v>0</v>
      </c>
      <c r="J18" s="28">
        <f t="shared" si="6"/>
        <v>0</v>
      </c>
      <c r="K18" s="29">
        <f t="shared" si="7"/>
        <v>0</v>
      </c>
      <c r="L18" s="96"/>
    </row>
    <row r="19" s="86" customFormat="1" ht="48" outlineLevel="2" spans="1:12">
      <c r="A19" s="103">
        <f t="shared" si="4"/>
        <v>8</v>
      </c>
      <c r="B19" s="105" t="s">
        <v>82</v>
      </c>
      <c r="C19" s="106" t="s">
        <v>83</v>
      </c>
      <c r="D19" s="105" t="s">
        <v>58</v>
      </c>
      <c r="E19" s="101">
        <v>0.253</v>
      </c>
      <c r="F19" s="101"/>
      <c r="G19" s="101"/>
      <c r="H19" s="101"/>
      <c r="I19" s="27">
        <f t="shared" si="5"/>
        <v>0</v>
      </c>
      <c r="J19" s="28">
        <f t="shared" si="6"/>
        <v>0</v>
      </c>
      <c r="K19" s="29">
        <f t="shared" si="7"/>
        <v>0</v>
      </c>
      <c r="L19" s="96"/>
    </row>
    <row r="20" s="86" customFormat="1" ht="48" outlineLevel="2" spans="1:12">
      <c r="A20" s="103">
        <f t="shared" si="4"/>
        <v>9</v>
      </c>
      <c r="B20" s="105" t="s">
        <v>86</v>
      </c>
      <c r="C20" s="106" t="s">
        <v>87</v>
      </c>
      <c r="D20" s="105" t="s">
        <v>65</v>
      </c>
      <c r="E20" s="101">
        <v>24.611</v>
      </c>
      <c r="F20" s="101"/>
      <c r="G20" s="101"/>
      <c r="H20" s="101"/>
      <c r="I20" s="27">
        <f t="shared" si="5"/>
        <v>0</v>
      </c>
      <c r="J20" s="28">
        <f t="shared" si="6"/>
        <v>0</v>
      </c>
      <c r="K20" s="29">
        <f t="shared" si="7"/>
        <v>0</v>
      </c>
      <c r="L20" s="96"/>
    </row>
    <row r="21" s="86" customFormat="1" ht="36" outlineLevel="2" spans="1:12">
      <c r="A21" s="103">
        <f t="shared" si="4"/>
        <v>10</v>
      </c>
      <c r="B21" s="105" t="s">
        <v>514</v>
      </c>
      <c r="C21" s="106" t="s">
        <v>515</v>
      </c>
      <c r="D21" s="105" t="s">
        <v>65</v>
      </c>
      <c r="E21" s="101">
        <v>10.065</v>
      </c>
      <c r="F21" s="101"/>
      <c r="G21" s="101"/>
      <c r="H21" s="101"/>
      <c r="I21" s="27">
        <f t="shared" si="5"/>
        <v>0</v>
      </c>
      <c r="J21" s="28">
        <f t="shared" si="6"/>
        <v>0</v>
      </c>
      <c r="K21" s="29">
        <f t="shared" si="7"/>
        <v>0</v>
      </c>
      <c r="L21" s="96"/>
    </row>
    <row r="22" s="86" customFormat="1" ht="48" outlineLevel="2" spans="1:12">
      <c r="A22" s="103">
        <f t="shared" si="4"/>
        <v>11</v>
      </c>
      <c r="B22" s="105" t="s">
        <v>92</v>
      </c>
      <c r="C22" s="106" t="s">
        <v>93</v>
      </c>
      <c r="D22" s="105" t="s">
        <v>65</v>
      </c>
      <c r="E22" s="101">
        <v>10.795</v>
      </c>
      <c r="F22" s="101"/>
      <c r="G22" s="101"/>
      <c r="H22" s="101"/>
      <c r="I22" s="27">
        <f t="shared" si="5"/>
        <v>0</v>
      </c>
      <c r="J22" s="28">
        <f t="shared" si="6"/>
        <v>0</v>
      </c>
      <c r="K22" s="29">
        <f t="shared" si="7"/>
        <v>0</v>
      </c>
      <c r="L22" s="96"/>
    </row>
    <row r="23" s="86" customFormat="1" ht="48" outlineLevel="2" spans="1:12">
      <c r="A23" s="103">
        <f t="shared" si="4"/>
        <v>12</v>
      </c>
      <c r="B23" s="105" t="s">
        <v>94</v>
      </c>
      <c r="C23" s="106" t="s">
        <v>95</v>
      </c>
      <c r="D23" s="105" t="s">
        <v>65</v>
      </c>
      <c r="E23" s="101">
        <v>25.474</v>
      </c>
      <c r="F23" s="101"/>
      <c r="G23" s="101"/>
      <c r="H23" s="101"/>
      <c r="I23" s="27">
        <f t="shared" si="5"/>
        <v>0</v>
      </c>
      <c r="J23" s="28">
        <f t="shared" si="6"/>
        <v>0</v>
      </c>
      <c r="K23" s="29">
        <f t="shared" si="7"/>
        <v>0</v>
      </c>
      <c r="L23" s="96"/>
    </row>
    <row r="24" s="86" customFormat="1" ht="24" customHeight="1" outlineLevel="1" spans="1:12">
      <c r="A24" s="97"/>
      <c r="B24" s="98" t="s">
        <v>96</v>
      </c>
      <c r="C24" s="99"/>
      <c r="D24" s="100"/>
      <c r="E24" s="101"/>
      <c r="F24" s="101"/>
      <c r="G24" s="101"/>
      <c r="H24" s="101"/>
      <c r="I24" s="101"/>
      <c r="J24" s="101"/>
      <c r="K24" s="102"/>
      <c r="L24" s="96"/>
    </row>
    <row r="25" s="86" customFormat="1" ht="96" outlineLevel="2" spans="1:12">
      <c r="A25" s="103">
        <f t="shared" ref="A25:A29" si="8">1+N(A24)</f>
        <v>1</v>
      </c>
      <c r="B25" s="98" t="s">
        <v>455</v>
      </c>
      <c r="C25" s="108" t="s">
        <v>98</v>
      </c>
      <c r="D25" s="100" t="s">
        <v>58</v>
      </c>
      <c r="E25" s="101">
        <v>27.946</v>
      </c>
      <c r="F25" s="101"/>
      <c r="G25" s="101"/>
      <c r="H25" s="101"/>
      <c r="I25" s="27">
        <f t="shared" ref="I25:I29" si="9">(F25+G25+H25)*$I$3</f>
        <v>0</v>
      </c>
      <c r="J25" s="28">
        <f t="shared" ref="J25:J29" si="10">ROUND(SUM(F25:I25),2)</f>
        <v>0</v>
      </c>
      <c r="K25" s="29">
        <f t="shared" ref="K25:K29" si="11">ROUND(J25*E25,2)</f>
        <v>0</v>
      </c>
      <c r="L25" s="96"/>
    </row>
    <row r="26" s="86" customFormat="1" ht="72" customHeight="1" outlineLevel="2" spans="1:12">
      <c r="A26" s="103">
        <f t="shared" si="8"/>
        <v>2</v>
      </c>
      <c r="B26" s="98" t="s">
        <v>516</v>
      </c>
      <c r="C26" s="108" t="s">
        <v>517</v>
      </c>
      <c r="D26" s="100" t="s">
        <v>65</v>
      </c>
      <c r="E26" s="101">
        <v>17.282</v>
      </c>
      <c r="F26" s="101"/>
      <c r="G26" s="101"/>
      <c r="H26" s="101"/>
      <c r="I26" s="27">
        <f t="shared" si="9"/>
        <v>0</v>
      </c>
      <c r="J26" s="28">
        <f t="shared" si="10"/>
        <v>0</v>
      </c>
      <c r="K26" s="29">
        <f t="shared" si="11"/>
        <v>0</v>
      </c>
      <c r="L26" s="96"/>
    </row>
    <row r="27" s="86" customFormat="1" ht="72" customHeight="1" outlineLevel="2" spans="1:12">
      <c r="A27" s="103">
        <f t="shared" si="8"/>
        <v>3</v>
      </c>
      <c r="B27" s="98" t="s">
        <v>101</v>
      </c>
      <c r="C27" s="99" t="s">
        <v>102</v>
      </c>
      <c r="D27" s="100" t="s">
        <v>65</v>
      </c>
      <c r="E27" s="101">
        <v>17.282</v>
      </c>
      <c r="F27" s="101"/>
      <c r="G27" s="101"/>
      <c r="H27" s="101"/>
      <c r="I27" s="27">
        <f t="shared" si="9"/>
        <v>0</v>
      </c>
      <c r="J27" s="28">
        <f t="shared" si="10"/>
        <v>0</v>
      </c>
      <c r="K27" s="29">
        <f t="shared" si="11"/>
        <v>0</v>
      </c>
      <c r="L27" s="96"/>
    </row>
    <row r="28" s="86" customFormat="1" ht="72" customHeight="1" outlineLevel="2" spans="1:12">
      <c r="A28" s="103">
        <f t="shared" si="8"/>
        <v>4</v>
      </c>
      <c r="B28" s="98" t="s">
        <v>103</v>
      </c>
      <c r="C28" s="99" t="s">
        <v>104</v>
      </c>
      <c r="D28" s="100" t="s">
        <v>65</v>
      </c>
      <c r="E28" s="101">
        <f>5.12*2</f>
        <v>10.24</v>
      </c>
      <c r="F28" s="101"/>
      <c r="G28" s="101"/>
      <c r="H28" s="101"/>
      <c r="I28" s="27">
        <f t="shared" si="9"/>
        <v>0</v>
      </c>
      <c r="J28" s="28">
        <f t="shared" si="10"/>
        <v>0</v>
      </c>
      <c r="K28" s="29">
        <f t="shared" si="11"/>
        <v>0</v>
      </c>
      <c r="L28" s="96"/>
    </row>
    <row r="29" s="86" customFormat="1" ht="72" customHeight="1" outlineLevel="2" spans="1:12">
      <c r="A29" s="103">
        <f t="shared" si="8"/>
        <v>5</v>
      </c>
      <c r="B29" s="98" t="s">
        <v>105</v>
      </c>
      <c r="C29" s="99" t="s">
        <v>106</v>
      </c>
      <c r="D29" s="100" t="s">
        <v>58</v>
      </c>
      <c r="E29" s="101">
        <v>34.76</v>
      </c>
      <c r="F29" s="101"/>
      <c r="G29" s="101"/>
      <c r="H29" s="101"/>
      <c r="I29" s="27">
        <f t="shared" si="9"/>
        <v>0</v>
      </c>
      <c r="J29" s="28">
        <f t="shared" si="10"/>
        <v>0</v>
      </c>
      <c r="K29" s="29">
        <f t="shared" si="11"/>
        <v>0</v>
      </c>
      <c r="L29" s="96"/>
    </row>
    <row r="30" s="86" customFormat="1" ht="24" customHeight="1" outlineLevel="1" spans="1:12">
      <c r="A30" s="97"/>
      <c r="B30" s="98" t="s">
        <v>107</v>
      </c>
      <c r="C30" s="99"/>
      <c r="D30" s="100"/>
      <c r="E30" s="101"/>
      <c r="F30" s="101"/>
      <c r="G30" s="101"/>
      <c r="H30" s="101"/>
      <c r="I30" s="101"/>
      <c r="J30" s="101"/>
      <c r="K30" s="102"/>
      <c r="L30" s="96"/>
    </row>
    <row r="31" s="86" customFormat="1" ht="24" customHeight="1" outlineLevel="1" spans="1:12">
      <c r="A31" s="92" t="s">
        <v>114</v>
      </c>
      <c r="B31" s="93" t="s">
        <v>518</v>
      </c>
      <c r="C31" s="93"/>
      <c r="D31" s="94"/>
      <c r="E31" s="95"/>
      <c r="F31" s="95"/>
      <c r="G31" s="95"/>
      <c r="H31" s="95"/>
      <c r="I31" s="95"/>
      <c r="J31" s="95"/>
      <c r="K31" s="23"/>
      <c r="L31" s="96"/>
    </row>
    <row r="32" s="86" customFormat="1" ht="24" customHeight="1" outlineLevel="1" spans="1:12">
      <c r="A32" s="97"/>
      <c r="B32" s="98" t="s">
        <v>55</v>
      </c>
      <c r="C32" s="99"/>
      <c r="D32" s="100"/>
      <c r="E32" s="101"/>
      <c r="F32" s="101"/>
      <c r="G32" s="101"/>
      <c r="H32" s="101"/>
      <c r="I32" s="101"/>
      <c r="J32" s="101"/>
      <c r="K32" s="102"/>
      <c r="L32" s="96"/>
    </row>
    <row r="33" s="86" customFormat="1" ht="96" outlineLevel="2" spans="1:16">
      <c r="A33" s="103">
        <f t="shared" ref="A33:A36" si="12">1+N(A32)</f>
        <v>1</v>
      </c>
      <c r="B33" s="98" t="s">
        <v>56</v>
      </c>
      <c r="C33" s="99" t="s">
        <v>57</v>
      </c>
      <c r="D33" s="100" t="s">
        <v>58</v>
      </c>
      <c r="E33" s="101">
        <v>11.09</v>
      </c>
      <c r="F33" s="101"/>
      <c r="G33" s="101"/>
      <c r="H33" s="27"/>
      <c r="I33" s="27">
        <f t="shared" ref="I33:I36" si="13">(F33+G33+H33)*$I$3</f>
        <v>0</v>
      </c>
      <c r="J33" s="28">
        <f t="shared" ref="J33:J36" si="14">ROUND(SUM(F33:I33),2)</f>
        <v>0</v>
      </c>
      <c r="K33" s="29">
        <f t="shared" ref="K33:K36" si="15">ROUND(J33*E33,2)</f>
        <v>0</v>
      </c>
      <c r="L33" s="96"/>
      <c r="P33" s="86">
        <v>1</v>
      </c>
    </row>
    <row r="34" s="86" customFormat="1" ht="108" outlineLevel="2" spans="1:16">
      <c r="A34" s="103">
        <f t="shared" si="12"/>
        <v>2</v>
      </c>
      <c r="B34" s="98" t="s">
        <v>59</v>
      </c>
      <c r="C34" s="99" t="s">
        <v>60</v>
      </c>
      <c r="D34" s="100" t="s">
        <v>58</v>
      </c>
      <c r="E34" s="101">
        <v>19.448</v>
      </c>
      <c r="F34" s="101"/>
      <c r="G34" s="101"/>
      <c r="H34" s="101"/>
      <c r="I34" s="27">
        <f t="shared" si="13"/>
        <v>0</v>
      </c>
      <c r="J34" s="28">
        <f t="shared" si="14"/>
        <v>0</v>
      </c>
      <c r="K34" s="29">
        <f t="shared" si="15"/>
        <v>0</v>
      </c>
      <c r="L34" s="96"/>
      <c r="P34" s="86">
        <v>1</v>
      </c>
    </row>
    <row r="35" s="86" customFormat="1" ht="36" outlineLevel="2" spans="1:16">
      <c r="A35" s="103">
        <f t="shared" si="12"/>
        <v>3</v>
      </c>
      <c r="B35" s="98" t="s">
        <v>63</v>
      </c>
      <c r="C35" s="99" t="s">
        <v>64</v>
      </c>
      <c r="D35" s="100" t="s">
        <v>65</v>
      </c>
      <c r="E35" s="101">
        <v>19.526</v>
      </c>
      <c r="F35" s="101"/>
      <c r="G35" s="101"/>
      <c r="H35" s="101"/>
      <c r="I35" s="27">
        <f t="shared" si="13"/>
        <v>0</v>
      </c>
      <c r="J35" s="28">
        <f t="shared" si="14"/>
        <v>0</v>
      </c>
      <c r="K35" s="29">
        <f t="shared" si="15"/>
        <v>0</v>
      </c>
      <c r="L35" s="96"/>
    </row>
    <row r="36" s="86" customFormat="1" ht="48" outlineLevel="2" spans="1:16">
      <c r="A36" s="103">
        <f t="shared" si="12"/>
        <v>4</v>
      </c>
      <c r="B36" s="98" t="s">
        <v>66</v>
      </c>
      <c r="C36" s="99" t="s">
        <v>67</v>
      </c>
      <c r="D36" s="100" t="s">
        <v>58</v>
      </c>
      <c r="E36" s="101">
        <f>+E33+E34</f>
        <v>30.538</v>
      </c>
      <c r="F36" s="101"/>
      <c r="G36" s="101"/>
      <c r="H36" s="101"/>
      <c r="I36" s="27">
        <f t="shared" si="13"/>
        <v>0</v>
      </c>
      <c r="J36" s="28">
        <f t="shared" si="14"/>
        <v>0</v>
      </c>
      <c r="K36" s="29">
        <f t="shared" si="15"/>
        <v>0</v>
      </c>
      <c r="L36" s="96"/>
    </row>
    <row r="37" s="86" customFormat="1" ht="24" customHeight="1" outlineLevel="1" spans="1:16">
      <c r="A37" s="97"/>
      <c r="B37" s="98" t="s">
        <v>489</v>
      </c>
      <c r="C37" s="99"/>
      <c r="D37" s="100"/>
      <c r="E37" s="101"/>
      <c r="F37" s="101"/>
      <c r="G37" s="101"/>
      <c r="H37" s="101"/>
      <c r="I37" s="101"/>
      <c r="J37" s="101"/>
      <c r="K37" s="102"/>
      <c r="L37" s="96"/>
    </row>
    <row r="38" s="86" customFormat="1" ht="72" outlineLevel="2" spans="1:16">
      <c r="A38" s="103">
        <f t="shared" ref="A38:A48" si="16">1+N(A37)</f>
        <v>1</v>
      </c>
      <c r="B38" s="104" t="s">
        <v>69</v>
      </c>
      <c r="C38" s="99" t="s">
        <v>70</v>
      </c>
      <c r="D38" s="100" t="s">
        <v>58</v>
      </c>
      <c r="E38" s="101">
        <v>8.311</v>
      </c>
      <c r="F38" s="101"/>
      <c r="G38" s="101"/>
      <c r="H38" s="101"/>
      <c r="I38" s="27">
        <f t="shared" ref="I38:I48" si="17">(F38+G38+H38)*$I$3</f>
        <v>0</v>
      </c>
      <c r="J38" s="28">
        <f t="shared" ref="J38:J48" si="18">ROUND(SUM(F38:I38),2)</f>
        <v>0</v>
      </c>
      <c r="K38" s="29">
        <f t="shared" ref="K38:K48" si="19">ROUND(J38*E38,2)</f>
        <v>0</v>
      </c>
      <c r="L38" s="96"/>
    </row>
    <row r="39" s="86" customFormat="1" ht="96" outlineLevel="2" spans="1:16">
      <c r="A39" s="103">
        <f t="shared" si="16"/>
        <v>2</v>
      </c>
      <c r="B39" s="105" t="s">
        <v>71</v>
      </c>
      <c r="C39" s="106" t="s">
        <v>72</v>
      </c>
      <c r="D39" s="100" t="s">
        <v>58</v>
      </c>
      <c r="E39" s="101">
        <v>37.242</v>
      </c>
      <c r="F39" s="101"/>
      <c r="G39" s="101"/>
      <c r="H39" s="101"/>
      <c r="I39" s="27">
        <f t="shared" si="17"/>
        <v>0</v>
      </c>
      <c r="J39" s="28">
        <f t="shared" si="18"/>
        <v>0</v>
      </c>
      <c r="K39" s="29">
        <f t="shared" si="19"/>
        <v>0</v>
      </c>
      <c r="L39" s="96"/>
    </row>
    <row r="40" s="86" customFormat="1" ht="72" outlineLevel="2" spans="1:16">
      <c r="A40" s="103">
        <f t="shared" si="16"/>
        <v>3</v>
      </c>
      <c r="B40" s="107" t="s">
        <v>223</v>
      </c>
      <c r="C40" s="99" t="s">
        <v>224</v>
      </c>
      <c r="D40" s="100" t="s">
        <v>58</v>
      </c>
      <c r="E40" s="101">
        <v>24.247</v>
      </c>
      <c r="F40" s="101"/>
      <c r="G40" s="101"/>
      <c r="H40" s="101"/>
      <c r="I40" s="27">
        <f t="shared" si="17"/>
        <v>0</v>
      </c>
      <c r="J40" s="28">
        <f t="shared" si="18"/>
        <v>0</v>
      </c>
      <c r="K40" s="29">
        <f t="shared" si="19"/>
        <v>0</v>
      </c>
      <c r="L40" s="96"/>
    </row>
    <row r="41" s="86" customFormat="1" ht="48" outlineLevel="2" spans="1:16">
      <c r="A41" s="103">
        <f t="shared" si="16"/>
        <v>4</v>
      </c>
      <c r="B41" s="105" t="s">
        <v>77</v>
      </c>
      <c r="C41" s="106" t="s">
        <v>78</v>
      </c>
      <c r="D41" s="105" t="s">
        <v>58</v>
      </c>
      <c r="E41" s="101">
        <f>0.38*2.2*2+0.29*1.2</f>
        <v>2.02</v>
      </c>
      <c r="F41" s="101"/>
      <c r="G41" s="101"/>
      <c r="H41" s="101"/>
      <c r="I41" s="27">
        <f t="shared" si="17"/>
        <v>0</v>
      </c>
      <c r="J41" s="28">
        <f t="shared" si="18"/>
        <v>0</v>
      </c>
      <c r="K41" s="29">
        <f t="shared" si="19"/>
        <v>0</v>
      </c>
      <c r="L41" s="96"/>
    </row>
    <row r="42" s="86" customFormat="1" ht="48" outlineLevel="2" spans="1:16">
      <c r="A42" s="103">
        <f t="shared" si="16"/>
        <v>5</v>
      </c>
      <c r="B42" s="105" t="s">
        <v>79</v>
      </c>
      <c r="C42" s="106" t="s">
        <v>78</v>
      </c>
      <c r="D42" s="105" t="s">
        <v>58</v>
      </c>
      <c r="E42" s="101">
        <f>0.34*2.75*2*2</f>
        <v>3.74</v>
      </c>
      <c r="F42" s="101"/>
      <c r="G42" s="101"/>
      <c r="H42" s="101"/>
      <c r="I42" s="27">
        <f t="shared" si="17"/>
        <v>0</v>
      </c>
      <c r="J42" s="28">
        <f t="shared" si="18"/>
        <v>0</v>
      </c>
      <c r="K42" s="29">
        <f t="shared" si="19"/>
        <v>0</v>
      </c>
      <c r="L42" s="96"/>
    </row>
    <row r="43" s="86" customFormat="1" ht="60" outlineLevel="2" spans="1:16">
      <c r="A43" s="103">
        <f t="shared" si="16"/>
        <v>6</v>
      </c>
      <c r="B43" s="105" t="s">
        <v>80</v>
      </c>
      <c r="C43" s="106" t="s">
        <v>81</v>
      </c>
      <c r="D43" s="105" t="s">
        <v>58</v>
      </c>
      <c r="E43" s="101">
        <f>+(0.061+0.475+0.114+0.074)*0.95*2</f>
        <v>1.3756</v>
      </c>
      <c r="F43" s="101"/>
      <c r="G43" s="101"/>
      <c r="H43" s="101"/>
      <c r="I43" s="27">
        <f t="shared" si="17"/>
        <v>0</v>
      </c>
      <c r="J43" s="28">
        <f t="shared" si="18"/>
        <v>0</v>
      </c>
      <c r="K43" s="29">
        <f t="shared" si="19"/>
        <v>0</v>
      </c>
      <c r="L43" s="96"/>
    </row>
    <row r="44" s="86" customFormat="1" ht="48" outlineLevel="2" spans="1:16">
      <c r="A44" s="103">
        <f t="shared" si="16"/>
        <v>7</v>
      </c>
      <c r="B44" s="105" t="s">
        <v>82</v>
      </c>
      <c r="C44" s="106" t="s">
        <v>83</v>
      </c>
      <c r="D44" s="105" t="s">
        <v>58</v>
      </c>
      <c r="E44" s="101">
        <v>0.253</v>
      </c>
      <c r="F44" s="101"/>
      <c r="G44" s="101"/>
      <c r="H44" s="101"/>
      <c r="I44" s="27">
        <f t="shared" si="17"/>
        <v>0</v>
      </c>
      <c r="J44" s="28">
        <f t="shared" si="18"/>
        <v>0</v>
      </c>
      <c r="K44" s="29">
        <f t="shared" si="19"/>
        <v>0</v>
      </c>
      <c r="L44" s="96"/>
    </row>
    <row r="45" s="86" customFormat="1" ht="48" outlineLevel="2" spans="1:16">
      <c r="A45" s="103">
        <f t="shared" si="16"/>
        <v>8</v>
      </c>
      <c r="B45" s="105" t="s">
        <v>86</v>
      </c>
      <c r="C45" s="106" t="s">
        <v>87</v>
      </c>
      <c r="D45" s="105" t="s">
        <v>65</v>
      </c>
      <c r="E45" s="101">
        <v>24.411</v>
      </c>
      <c r="F45" s="101"/>
      <c r="G45" s="101"/>
      <c r="H45" s="101"/>
      <c r="I45" s="27">
        <f t="shared" si="17"/>
        <v>0</v>
      </c>
      <c r="J45" s="28">
        <f t="shared" si="18"/>
        <v>0</v>
      </c>
      <c r="K45" s="29">
        <f t="shared" si="19"/>
        <v>0</v>
      </c>
      <c r="L45" s="96"/>
    </row>
    <row r="46" s="86" customFormat="1" ht="36" outlineLevel="2" spans="1:16">
      <c r="A46" s="103">
        <f t="shared" si="16"/>
        <v>9</v>
      </c>
      <c r="B46" s="105" t="s">
        <v>514</v>
      </c>
      <c r="C46" s="106" t="s">
        <v>515</v>
      </c>
      <c r="D46" s="105" t="s">
        <v>65</v>
      </c>
      <c r="E46" s="101">
        <v>7.858</v>
      </c>
      <c r="F46" s="101"/>
      <c r="G46" s="101"/>
      <c r="H46" s="101"/>
      <c r="I46" s="27">
        <f t="shared" si="17"/>
        <v>0</v>
      </c>
      <c r="J46" s="28">
        <f t="shared" si="18"/>
        <v>0</v>
      </c>
      <c r="K46" s="29">
        <f t="shared" si="19"/>
        <v>0</v>
      </c>
      <c r="L46" s="96"/>
    </row>
    <row r="47" s="86" customFormat="1" ht="48" outlineLevel="2" spans="1:16">
      <c r="A47" s="103">
        <f t="shared" si="16"/>
        <v>10</v>
      </c>
      <c r="B47" s="105" t="s">
        <v>92</v>
      </c>
      <c r="C47" s="106" t="s">
        <v>93</v>
      </c>
      <c r="D47" s="105" t="s">
        <v>65</v>
      </c>
      <c r="E47" s="101">
        <v>14.71</v>
      </c>
      <c r="F47" s="101"/>
      <c r="G47" s="101"/>
      <c r="H47" s="101"/>
      <c r="I47" s="27">
        <f t="shared" si="17"/>
        <v>0</v>
      </c>
      <c r="J47" s="28">
        <f t="shared" si="18"/>
        <v>0</v>
      </c>
      <c r="K47" s="29">
        <f t="shared" si="19"/>
        <v>0</v>
      </c>
      <c r="L47" s="96"/>
    </row>
    <row r="48" s="86" customFormat="1" ht="48" outlineLevel="2" spans="1:16">
      <c r="A48" s="103">
        <f t="shared" si="16"/>
        <v>11</v>
      </c>
      <c r="B48" s="105" t="s">
        <v>94</v>
      </c>
      <c r="C48" s="106" t="s">
        <v>95</v>
      </c>
      <c r="D48" s="105" t="s">
        <v>65</v>
      </c>
      <c r="E48" s="101">
        <v>28.792</v>
      </c>
      <c r="F48" s="101"/>
      <c r="G48" s="101"/>
      <c r="H48" s="101"/>
      <c r="I48" s="27">
        <f t="shared" si="17"/>
        <v>0</v>
      </c>
      <c r="J48" s="28">
        <f t="shared" si="18"/>
        <v>0</v>
      </c>
      <c r="K48" s="29">
        <f t="shared" si="19"/>
        <v>0</v>
      </c>
      <c r="L48" s="96"/>
    </row>
    <row r="49" s="86" customFormat="1" ht="24" customHeight="1" outlineLevel="1" spans="1:16">
      <c r="A49" s="97"/>
      <c r="B49" s="98" t="s">
        <v>96</v>
      </c>
      <c r="C49" s="99"/>
      <c r="D49" s="100"/>
      <c r="E49" s="101"/>
      <c r="F49" s="101"/>
      <c r="G49" s="101"/>
      <c r="H49" s="101"/>
      <c r="I49" s="101"/>
      <c r="J49" s="101"/>
      <c r="K49" s="102"/>
      <c r="L49" s="96"/>
    </row>
    <row r="50" s="86" customFormat="1" ht="96" outlineLevel="2" spans="1:16">
      <c r="A50" s="103">
        <f t="shared" ref="A50:A54" si="20">1+N(A49)</f>
        <v>1</v>
      </c>
      <c r="B50" s="98" t="s">
        <v>455</v>
      </c>
      <c r="C50" s="108" t="s">
        <v>98</v>
      </c>
      <c r="D50" s="100" t="s">
        <v>58</v>
      </c>
      <c r="E50" s="101">
        <v>31.408</v>
      </c>
      <c r="F50" s="101"/>
      <c r="G50" s="101"/>
      <c r="H50" s="101"/>
      <c r="I50" s="27">
        <f t="shared" ref="I50:I54" si="21">(F50+G50+H50)*$I$3</f>
        <v>0</v>
      </c>
      <c r="J50" s="28">
        <f t="shared" ref="J50:J54" si="22">ROUND(SUM(F50:I50),2)</f>
        <v>0</v>
      </c>
      <c r="K50" s="29">
        <f t="shared" ref="K50:K54" si="23">ROUND(J50*E50,2)</f>
        <v>0</v>
      </c>
      <c r="L50" s="96"/>
    </row>
    <row r="51" s="86" customFormat="1" ht="72" customHeight="1" outlineLevel="2" spans="1:16">
      <c r="A51" s="103">
        <f t="shared" si="20"/>
        <v>2</v>
      </c>
      <c r="B51" s="98" t="s">
        <v>516</v>
      </c>
      <c r="C51" s="108" t="s">
        <v>517</v>
      </c>
      <c r="D51" s="100" t="s">
        <v>65</v>
      </c>
      <c r="E51" s="101">
        <v>19.532</v>
      </c>
      <c r="F51" s="101"/>
      <c r="G51" s="101"/>
      <c r="H51" s="101"/>
      <c r="I51" s="27">
        <f t="shared" si="21"/>
        <v>0</v>
      </c>
      <c r="J51" s="28">
        <f t="shared" si="22"/>
        <v>0</v>
      </c>
      <c r="K51" s="29">
        <f t="shared" si="23"/>
        <v>0</v>
      </c>
      <c r="L51" s="96"/>
    </row>
    <row r="52" s="86" customFormat="1" ht="72" customHeight="1" outlineLevel="2" spans="1:16">
      <c r="A52" s="103">
        <f t="shared" si="20"/>
        <v>3</v>
      </c>
      <c r="B52" s="98" t="s">
        <v>101</v>
      </c>
      <c r="C52" s="99" t="s">
        <v>102</v>
      </c>
      <c r="D52" s="100" t="s">
        <v>65</v>
      </c>
      <c r="E52" s="101">
        <v>19.532</v>
      </c>
      <c r="F52" s="101"/>
      <c r="G52" s="101"/>
      <c r="H52" s="101"/>
      <c r="I52" s="27">
        <f t="shared" si="21"/>
        <v>0</v>
      </c>
      <c r="J52" s="28">
        <f t="shared" si="22"/>
        <v>0</v>
      </c>
      <c r="K52" s="29">
        <f t="shared" si="23"/>
        <v>0</v>
      </c>
      <c r="L52" s="96"/>
    </row>
    <row r="53" s="86" customFormat="1" ht="72" customHeight="1" outlineLevel="2" spans="1:16">
      <c r="A53" s="103">
        <f t="shared" si="20"/>
        <v>4</v>
      </c>
      <c r="B53" s="98" t="s">
        <v>103</v>
      </c>
      <c r="C53" s="99" t="s">
        <v>104</v>
      </c>
      <c r="D53" s="100" t="s">
        <v>65</v>
      </c>
      <c r="E53" s="101">
        <f>6.9*2</f>
        <v>13.8</v>
      </c>
      <c r="F53" s="101"/>
      <c r="G53" s="101"/>
      <c r="H53" s="101"/>
      <c r="I53" s="27">
        <f t="shared" si="21"/>
        <v>0</v>
      </c>
      <c r="J53" s="28">
        <f t="shared" si="22"/>
        <v>0</v>
      </c>
      <c r="K53" s="29">
        <f t="shared" si="23"/>
        <v>0</v>
      </c>
      <c r="L53" s="96"/>
    </row>
    <row r="54" s="86" customFormat="1" ht="72" customHeight="1" outlineLevel="2" spans="1:16">
      <c r="A54" s="103">
        <f t="shared" si="20"/>
        <v>5</v>
      </c>
      <c r="B54" s="98" t="s">
        <v>105</v>
      </c>
      <c r="C54" s="99" t="s">
        <v>106</v>
      </c>
      <c r="D54" s="100" t="s">
        <v>58</v>
      </c>
      <c r="E54" s="101">
        <v>39.118</v>
      </c>
      <c r="F54" s="101"/>
      <c r="G54" s="101"/>
      <c r="H54" s="101"/>
      <c r="I54" s="27">
        <f t="shared" si="21"/>
        <v>0</v>
      </c>
      <c r="J54" s="28">
        <f t="shared" si="22"/>
        <v>0</v>
      </c>
      <c r="K54" s="29">
        <f t="shared" si="23"/>
        <v>0</v>
      </c>
      <c r="L54" s="96"/>
    </row>
    <row r="55" s="86" customFormat="1" ht="24" customHeight="1" outlineLevel="1" spans="1:16">
      <c r="A55" s="97"/>
      <c r="B55" s="98" t="s">
        <v>107</v>
      </c>
      <c r="C55" s="99"/>
      <c r="D55" s="100"/>
      <c r="E55" s="101"/>
      <c r="F55" s="101"/>
      <c r="G55" s="101"/>
      <c r="H55" s="101"/>
      <c r="I55" s="101"/>
      <c r="J55" s="101"/>
      <c r="K55" s="102"/>
      <c r="L55" s="96"/>
    </row>
    <row r="56" s="86" customFormat="1" ht="24" customHeight="1" outlineLevel="1" spans="1:16">
      <c r="A56" s="92" t="s">
        <v>122</v>
      </c>
      <c r="B56" s="93" t="s">
        <v>519</v>
      </c>
      <c r="C56" s="93"/>
      <c r="D56" s="94"/>
      <c r="E56" s="95"/>
      <c r="F56" s="95"/>
      <c r="G56" s="95"/>
      <c r="H56" s="95"/>
      <c r="I56" s="95"/>
      <c r="J56" s="95"/>
      <c r="K56" s="23"/>
      <c r="L56" s="96"/>
    </row>
    <row r="57" s="86" customFormat="1" ht="24" customHeight="1" outlineLevel="1" spans="1:16">
      <c r="A57" s="97"/>
      <c r="B57" s="98" t="s">
        <v>55</v>
      </c>
      <c r="C57" s="99"/>
      <c r="D57" s="100"/>
      <c r="E57" s="101"/>
      <c r="F57" s="101"/>
      <c r="G57" s="101"/>
      <c r="H57" s="101"/>
      <c r="I57" s="101"/>
      <c r="J57" s="101"/>
      <c r="K57" s="102"/>
      <c r="L57" s="96"/>
    </row>
    <row r="58" s="86" customFormat="1" ht="96" outlineLevel="2" spans="1:16">
      <c r="A58" s="103">
        <f t="shared" ref="A58:A61" si="24">1+N(A57)</f>
        <v>1</v>
      </c>
      <c r="B58" s="98" t="s">
        <v>56</v>
      </c>
      <c r="C58" s="99" t="s">
        <v>57</v>
      </c>
      <c r="D58" s="100" t="s">
        <v>58</v>
      </c>
      <c r="E58" s="101">
        <v>14.193</v>
      </c>
      <c r="F58" s="101"/>
      <c r="G58" s="101"/>
      <c r="H58" s="27"/>
      <c r="I58" s="27">
        <f t="shared" ref="I58:I61" si="25">(F58+G58+H58)*$I$3</f>
        <v>0</v>
      </c>
      <c r="J58" s="28">
        <f t="shared" ref="J58:J61" si="26">ROUND(SUM(F58:I58),2)</f>
        <v>0</v>
      </c>
      <c r="K58" s="29">
        <f t="shared" ref="K58:K61" si="27">ROUND(J58*E58,2)</f>
        <v>0</v>
      </c>
      <c r="L58" s="96"/>
      <c r="P58" s="86">
        <v>1</v>
      </c>
    </row>
    <row r="59" s="86" customFormat="1" ht="108" outlineLevel="2" spans="1:16">
      <c r="A59" s="103">
        <f t="shared" si="24"/>
        <v>2</v>
      </c>
      <c r="B59" s="98" t="s">
        <v>59</v>
      </c>
      <c r="C59" s="99" t="s">
        <v>60</v>
      </c>
      <c r="D59" s="100" t="s">
        <v>58</v>
      </c>
      <c r="E59" s="101">
        <v>14.838</v>
      </c>
      <c r="F59" s="101"/>
      <c r="G59" s="101"/>
      <c r="H59" s="101"/>
      <c r="I59" s="27">
        <f t="shared" si="25"/>
        <v>0</v>
      </c>
      <c r="J59" s="28">
        <f t="shared" si="26"/>
        <v>0</v>
      </c>
      <c r="K59" s="29">
        <f t="shared" si="27"/>
        <v>0</v>
      </c>
      <c r="L59" s="96"/>
      <c r="P59" s="86">
        <v>1</v>
      </c>
    </row>
    <row r="60" s="86" customFormat="1" ht="36" outlineLevel="2" spans="1:16">
      <c r="A60" s="103">
        <f t="shared" si="24"/>
        <v>3</v>
      </c>
      <c r="B60" s="98" t="s">
        <v>63</v>
      </c>
      <c r="C60" s="99" t="s">
        <v>64</v>
      </c>
      <c r="D60" s="100" t="s">
        <v>65</v>
      </c>
      <c r="E60" s="101">
        <v>15.966</v>
      </c>
      <c r="F60" s="101"/>
      <c r="G60" s="101"/>
      <c r="H60" s="101"/>
      <c r="I60" s="27">
        <f t="shared" si="25"/>
        <v>0</v>
      </c>
      <c r="J60" s="28">
        <f t="shared" si="26"/>
        <v>0</v>
      </c>
      <c r="K60" s="29">
        <f t="shared" si="27"/>
        <v>0</v>
      </c>
      <c r="L60" s="96"/>
    </row>
    <row r="61" s="86" customFormat="1" ht="48" outlineLevel="2" spans="1:16">
      <c r="A61" s="103">
        <f t="shared" si="24"/>
        <v>4</v>
      </c>
      <c r="B61" s="98" t="s">
        <v>66</v>
      </c>
      <c r="C61" s="99" t="s">
        <v>67</v>
      </c>
      <c r="D61" s="100" t="s">
        <v>58</v>
      </c>
      <c r="E61" s="101">
        <f>+E58+E59</f>
        <v>29.031</v>
      </c>
      <c r="F61" s="101"/>
      <c r="G61" s="101"/>
      <c r="H61" s="101"/>
      <c r="I61" s="27">
        <f t="shared" si="25"/>
        <v>0</v>
      </c>
      <c r="J61" s="28">
        <f t="shared" si="26"/>
        <v>0</v>
      </c>
      <c r="K61" s="29">
        <f t="shared" si="27"/>
        <v>0</v>
      </c>
      <c r="L61" s="96"/>
    </row>
    <row r="62" s="86" customFormat="1" ht="24" customHeight="1" outlineLevel="1" spans="1:16">
      <c r="A62" s="97"/>
      <c r="B62" s="98" t="s">
        <v>489</v>
      </c>
      <c r="C62" s="99"/>
      <c r="D62" s="100"/>
      <c r="E62" s="101"/>
      <c r="F62" s="101"/>
      <c r="G62" s="101"/>
      <c r="H62" s="101"/>
      <c r="I62" s="101"/>
      <c r="J62" s="101"/>
      <c r="K62" s="102"/>
      <c r="L62" s="96"/>
    </row>
    <row r="63" s="86" customFormat="1" ht="72" outlineLevel="2" spans="1:16">
      <c r="A63" s="103">
        <f t="shared" ref="A63:A74" si="28">1+N(A62)</f>
        <v>1</v>
      </c>
      <c r="B63" s="104" t="s">
        <v>69</v>
      </c>
      <c r="C63" s="99" t="s">
        <v>70</v>
      </c>
      <c r="D63" s="100" t="s">
        <v>58</v>
      </c>
      <c r="E63" s="101">
        <v>5.314</v>
      </c>
      <c r="F63" s="101"/>
      <c r="G63" s="101"/>
      <c r="H63" s="101"/>
      <c r="I63" s="27">
        <f t="shared" ref="I63:I74" si="29">(F63+G63+H63)*$I$3</f>
        <v>0</v>
      </c>
      <c r="J63" s="28">
        <f t="shared" ref="J63:J74" si="30">ROUND(SUM(F63:I63),2)</f>
        <v>0</v>
      </c>
      <c r="K63" s="29">
        <f t="shared" ref="K63:K74" si="31">ROUND(J63*E63,2)</f>
        <v>0</v>
      </c>
      <c r="L63" s="96"/>
    </row>
    <row r="64" s="86" customFormat="1" ht="96" outlineLevel="2" spans="1:16">
      <c r="A64" s="103">
        <f t="shared" si="28"/>
        <v>2</v>
      </c>
      <c r="B64" s="105" t="s">
        <v>71</v>
      </c>
      <c r="C64" s="106" t="s">
        <v>72</v>
      </c>
      <c r="D64" s="100" t="s">
        <v>58</v>
      </c>
      <c r="E64" s="101">
        <v>25.354</v>
      </c>
      <c r="F64" s="101"/>
      <c r="G64" s="101"/>
      <c r="H64" s="101"/>
      <c r="I64" s="27">
        <f t="shared" si="29"/>
        <v>0</v>
      </c>
      <c r="J64" s="28">
        <f t="shared" si="30"/>
        <v>0</v>
      </c>
      <c r="K64" s="29">
        <f t="shared" si="31"/>
        <v>0</v>
      </c>
      <c r="L64" s="96"/>
    </row>
    <row r="65" s="86" customFormat="1" ht="60" customHeight="1" outlineLevel="2" spans="1:12">
      <c r="A65" s="103">
        <f t="shared" si="28"/>
        <v>3</v>
      </c>
      <c r="B65" s="98" t="s">
        <v>221</v>
      </c>
      <c r="C65" s="99" t="s">
        <v>220</v>
      </c>
      <c r="D65" s="100" t="s">
        <v>58</v>
      </c>
      <c r="E65" s="101">
        <v>5.421</v>
      </c>
      <c r="F65" s="101"/>
      <c r="G65" s="101"/>
      <c r="H65" s="101"/>
      <c r="I65" s="27">
        <f t="shared" si="29"/>
        <v>0</v>
      </c>
      <c r="J65" s="28">
        <f t="shared" si="30"/>
        <v>0</v>
      </c>
      <c r="K65" s="29">
        <f t="shared" si="31"/>
        <v>0</v>
      </c>
      <c r="L65" s="96"/>
    </row>
    <row r="66" s="86" customFormat="1" ht="72" outlineLevel="2" spans="1:12">
      <c r="A66" s="103">
        <f t="shared" si="28"/>
        <v>4</v>
      </c>
      <c r="B66" s="107" t="s">
        <v>223</v>
      </c>
      <c r="C66" s="99" t="s">
        <v>224</v>
      </c>
      <c r="D66" s="100" t="s">
        <v>58</v>
      </c>
      <c r="E66" s="101">
        <v>39.655</v>
      </c>
      <c r="F66" s="101"/>
      <c r="G66" s="101"/>
      <c r="H66" s="101"/>
      <c r="I66" s="27">
        <f t="shared" si="29"/>
        <v>0</v>
      </c>
      <c r="J66" s="28">
        <f t="shared" si="30"/>
        <v>0</v>
      </c>
      <c r="K66" s="29">
        <f t="shared" si="31"/>
        <v>0</v>
      </c>
      <c r="L66" s="96"/>
    </row>
    <row r="67" s="86" customFormat="1" ht="48" outlineLevel="2" spans="1:12">
      <c r="A67" s="103">
        <f t="shared" si="28"/>
        <v>5</v>
      </c>
      <c r="B67" s="105" t="s">
        <v>77</v>
      </c>
      <c r="C67" s="106" t="s">
        <v>78</v>
      </c>
      <c r="D67" s="105" t="s">
        <v>58</v>
      </c>
      <c r="E67" s="101">
        <f>0.31*2.2*2+0.25*1.2</f>
        <v>1.664</v>
      </c>
      <c r="F67" s="101"/>
      <c r="G67" s="101"/>
      <c r="H67" s="101"/>
      <c r="I67" s="27">
        <f t="shared" si="29"/>
        <v>0</v>
      </c>
      <c r="J67" s="28">
        <f t="shared" si="30"/>
        <v>0</v>
      </c>
      <c r="K67" s="29">
        <f t="shared" si="31"/>
        <v>0</v>
      </c>
      <c r="L67" s="96"/>
    </row>
    <row r="68" s="86" customFormat="1" ht="48" outlineLevel="2" spans="1:12">
      <c r="A68" s="103">
        <f t="shared" si="28"/>
        <v>6</v>
      </c>
      <c r="B68" s="105" t="s">
        <v>79</v>
      </c>
      <c r="C68" s="106" t="s">
        <v>78</v>
      </c>
      <c r="D68" s="105" t="s">
        <v>58</v>
      </c>
      <c r="E68" s="101">
        <f>0.34*2.75*2*2</f>
        <v>3.74</v>
      </c>
      <c r="F68" s="101"/>
      <c r="G68" s="101"/>
      <c r="H68" s="101"/>
      <c r="I68" s="27">
        <f t="shared" si="29"/>
        <v>0</v>
      </c>
      <c r="J68" s="28">
        <f t="shared" si="30"/>
        <v>0</v>
      </c>
      <c r="K68" s="29">
        <f t="shared" si="31"/>
        <v>0</v>
      </c>
      <c r="L68" s="96"/>
    </row>
    <row r="69" s="86" customFormat="1" ht="60" outlineLevel="2" spans="1:12">
      <c r="A69" s="103">
        <f t="shared" si="28"/>
        <v>7</v>
      </c>
      <c r="B69" s="105" t="s">
        <v>80</v>
      </c>
      <c r="C69" s="106" t="s">
        <v>81</v>
      </c>
      <c r="D69" s="105" t="s">
        <v>58</v>
      </c>
      <c r="E69" s="101">
        <f>+(0.061+0.475+0.114+0.074)*0.95*2</f>
        <v>1.3756</v>
      </c>
      <c r="F69" s="101"/>
      <c r="G69" s="101"/>
      <c r="H69" s="101"/>
      <c r="I69" s="27">
        <f t="shared" si="29"/>
        <v>0</v>
      </c>
      <c r="J69" s="28">
        <f t="shared" si="30"/>
        <v>0</v>
      </c>
      <c r="K69" s="29">
        <f t="shared" si="31"/>
        <v>0</v>
      </c>
      <c r="L69" s="96"/>
    </row>
    <row r="70" s="86" customFormat="1" ht="48" outlineLevel="2" spans="1:12">
      <c r="A70" s="103">
        <f t="shared" si="28"/>
        <v>8</v>
      </c>
      <c r="B70" s="105" t="s">
        <v>82</v>
      </c>
      <c r="C70" s="106" t="s">
        <v>83</v>
      </c>
      <c r="D70" s="105" t="s">
        <v>58</v>
      </c>
      <c r="E70" s="101">
        <v>0.253</v>
      </c>
      <c r="F70" s="101"/>
      <c r="G70" s="101"/>
      <c r="H70" s="101"/>
      <c r="I70" s="27">
        <f t="shared" si="29"/>
        <v>0</v>
      </c>
      <c r="J70" s="28">
        <f t="shared" si="30"/>
        <v>0</v>
      </c>
      <c r="K70" s="29">
        <f t="shared" si="31"/>
        <v>0</v>
      </c>
      <c r="L70" s="96"/>
    </row>
    <row r="71" s="86" customFormat="1" ht="48" outlineLevel="2" spans="1:12">
      <c r="A71" s="103">
        <f t="shared" si="28"/>
        <v>9</v>
      </c>
      <c r="B71" s="105" t="s">
        <v>86</v>
      </c>
      <c r="C71" s="106" t="s">
        <v>87</v>
      </c>
      <c r="D71" s="105" t="s">
        <v>65</v>
      </c>
      <c r="E71" s="101">
        <v>25.991</v>
      </c>
      <c r="F71" s="101"/>
      <c r="G71" s="101"/>
      <c r="H71" s="101"/>
      <c r="I71" s="27">
        <f t="shared" si="29"/>
        <v>0</v>
      </c>
      <c r="J71" s="28">
        <f t="shared" si="30"/>
        <v>0</v>
      </c>
      <c r="K71" s="29">
        <f t="shared" si="31"/>
        <v>0</v>
      </c>
      <c r="L71" s="96"/>
    </row>
    <row r="72" s="86" customFormat="1" ht="36" outlineLevel="2" spans="1:12">
      <c r="A72" s="103">
        <f t="shared" si="28"/>
        <v>10</v>
      </c>
      <c r="B72" s="105" t="s">
        <v>514</v>
      </c>
      <c r="C72" s="106" t="s">
        <v>515</v>
      </c>
      <c r="D72" s="105" t="s">
        <v>65</v>
      </c>
      <c r="E72" s="101">
        <v>12.848</v>
      </c>
      <c r="F72" s="101"/>
      <c r="G72" s="101"/>
      <c r="H72" s="101"/>
      <c r="I72" s="27">
        <f t="shared" si="29"/>
        <v>0</v>
      </c>
      <c r="J72" s="28">
        <f t="shared" si="30"/>
        <v>0</v>
      </c>
      <c r="K72" s="29">
        <f t="shared" si="31"/>
        <v>0</v>
      </c>
      <c r="L72" s="96"/>
    </row>
    <row r="73" s="86" customFormat="1" ht="48" outlineLevel="2" spans="1:12">
      <c r="A73" s="103">
        <f t="shared" si="28"/>
        <v>11</v>
      </c>
      <c r="B73" s="105" t="s">
        <v>92</v>
      </c>
      <c r="C73" s="106" t="s">
        <v>93</v>
      </c>
      <c r="D73" s="105" t="s">
        <v>65</v>
      </c>
      <c r="E73" s="101">
        <v>9.405</v>
      </c>
      <c r="F73" s="101"/>
      <c r="G73" s="101"/>
      <c r="H73" s="101"/>
      <c r="I73" s="27">
        <f t="shared" si="29"/>
        <v>0</v>
      </c>
      <c r="J73" s="28">
        <f t="shared" si="30"/>
        <v>0</v>
      </c>
      <c r="K73" s="29">
        <f t="shared" si="31"/>
        <v>0</v>
      </c>
      <c r="L73" s="96"/>
    </row>
    <row r="74" s="86" customFormat="1" ht="48" outlineLevel="2" spans="1:12">
      <c r="A74" s="103">
        <f t="shared" si="28"/>
        <v>12</v>
      </c>
      <c r="B74" s="105" t="s">
        <v>94</v>
      </c>
      <c r="C74" s="106" t="s">
        <v>95</v>
      </c>
      <c r="D74" s="105" t="s">
        <v>65</v>
      </c>
      <c r="E74" s="101">
        <v>29.322</v>
      </c>
      <c r="F74" s="101"/>
      <c r="G74" s="101"/>
      <c r="H74" s="101"/>
      <c r="I74" s="27">
        <f t="shared" si="29"/>
        <v>0</v>
      </c>
      <c r="J74" s="28">
        <f t="shared" si="30"/>
        <v>0</v>
      </c>
      <c r="K74" s="29">
        <f t="shared" si="31"/>
        <v>0</v>
      </c>
      <c r="L74" s="96"/>
    </row>
    <row r="75" s="86" customFormat="1" ht="24" customHeight="1" outlineLevel="1" spans="1:12">
      <c r="A75" s="97"/>
      <c r="B75" s="98" t="s">
        <v>96</v>
      </c>
      <c r="C75" s="99"/>
      <c r="D75" s="100"/>
      <c r="E75" s="101"/>
      <c r="F75" s="101"/>
      <c r="G75" s="101"/>
      <c r="H75" s="101"/>
      <c r="I75" s="101"/>
      <c r="J75" s="101"/>
      <c r="K75" s="102"/>
      <c r="L75" s="96"/>
    </row>
    <row r="76" s="86" customFormat="1" ht="96" outlineLevel="2" spans="1:12">
      <c r="A76" s="103">
        <f t="shared" ref="A76:A80" si="32">1+N(A75)</f>
        <v>1</v>
      </c>
      <c r="B76" s="98" t="s">
        <v>455</v>
      </c>
      <c r="C76" s="108" t="s">
        <v>98</v>
      </c>
      <c r="D76" s="100" t="s">
        <v>58</v>
      </c>
      <c r="E76" s="101">
        <v>29.392</v>
      </c>
      <c r="F76" s="101"/>
      <c r="G76" s="101"/>
      <c r="H76" s="101"/>
      <c r="I76" s="27">
        <f t="shared" ref="I76:I80" si="33">(F76+G76+H76)*$I$3</f>
        <v>0</v>
      </c>
      <c r="J76" s="28">
        <f t="shared" ref="J76:J80" si="34">ROUND(SUM(F76:I76),2)</f>
        <v>0</v>
      </c>
      <c r="K76" s="29">
        <f t="shared" ref="K76:K80" si="35">ROUND(J76*E76,2)</f>
        <v>0</v>
      </c>
      <c r="L76" s="96"/>
    </row>
    <row r="77" s="86" customFormat="1" ht="72" customHeight="1" outlineLevel="2" spans="1:12">
      <c r="A77" s="103">
        <f t="shared" si="32"/>
        <v>2</v>
      </c>
      <c r="B77" s="98" t="s">
        <v>516</v>
      </c>
      <c r="C77" s="108" t="s">
        <v>517</v>
      </c>
      <c r="D77" s="100" t="s">
        <v>65</v>
      </c>
      <c r="E77" s="101">
        <v>15.982</v>
      </c>
      <c r="F77" s="101"/>
      <c r="G77" s="101"/>
      <c r="H77" s="101"/>
      <c r="I77" s="27">
        <f t="shared" si="33"/>
        <v>0</v>
      </c>
      <c r="J77" s="28">
        <f t="shared" si="34"/>
        <v>0</v>
      </c>
      <c r="K77" s="29">
        <f t="shared" si="35"/>
        <v>0</v>
      </c>
      <c r="L77" s="96"/>
    </row>
    <row r="78" s="86" customFormat="1" ht="72" customHeight="1" outlineLevel="2" spans="1:12">
      <c r="A78" s="103">
        <f t="shared" si="32"/>
        <v>3</v>
      </c>
      <c r="B78" s="98" t="s">
        <v>101</v>
      </c>
      <c r="C78" s="99" t="s">
        <v>102</v>
      </c>
      <c r="D78" s="100" t="s">
        <v>65</v>
      </c>
      <c r="E78" s="101">
        <v>15.982</v>
      </c>
      <c r="F78" s="101"/>
      <c r="G78" s="101"/>
      <c r="H78" s="101"/>
      <c r="I78" s="27">
        <f t="shared" si="33"/>
        <v>0</v>
      </c>
      <c r="J78" s="28">
        <f t="shared" si="34"/>
        <v>0</v>
      </c>
      <c r="K78" s="29">
        <f t="shared" si="35"/>
        <v>0</v>
      </c>
      <c r="L78" s="96"/>
    </row>
    <row r="79" s="86" customFormat="1" ht="72" customHeight="1" outlineLevel="2" spans="1:12">
      <c r="A79" s="103">
        <f t="shared" si="32"/>
        <v>4</v>
      </c>
      <c r="B79" s="98" t="s">
        <v>103</v>
      </c>
      <c r="C79" s="99" t="s">
        <v>104</v>
      </c>
      <c r="D79" s="100" t="s">
        <v>65</v>
      </c>
      <c r="E79" s="101">
        <f>5.12*2</f>
        <v>10.24</v>
      </c>
      <c r="F79" s="101"/>
      <c r="G79" s="101"/>
      <c r="H79" s="101"/>
      <c r="I79" s="27">
        <f t="shared" si="33"/>
        <v>0</v>
      </c>
      <c r="J79" s="28">
        <f t="shared" si="34"/>
        <v>0</v>
      </c>
      <c r="K79" s="29">
        <f t="shared" si="35"/>
        <v>0</v>
      </c>
      <c r="L79" s="96"/>
    </row>
    <row r="80" s="86" customFormat="1" ht="72" customHeight="1" outlineLevel="2" spans="1:12">
      <c r="A80" s="103">
        <f t="shared" si="32"/>
        <v>5</v>
      </c>
      <c r="B80" s="98" t="s">
        <v>105</v>
      </c>
      <c r="C80" s="99" t="s">
        <v>106</v>
      </c>
      <c r="D80" s="100" t="s">
        <v>58</v>
      </c>
      <c r="E80" s="101">
        <v>35.688</v>
      </c>
      <c r="F80" s="101"/>
      <c r="G80" s="101"/>
      <c r="H80" s="101"/>
      <c r="I80" s="27">
        <f t="shared" si="33"/>
        <v>0</v>
      </c>
      <c r="J80" s="28">
        <f t="shared" si="34"/>
        <v>0</v>
      </c>
      <c r="K80" s="29">
        <f t="shared" si="35"/>
        <v>0</v>
      </c>
      <c r="L80" s="96"/>
    </row>
    <row r="81" s="86" customFormat="1" ht="24" customHeight="1" outlineLevel="1" spans="1:16">
      <c r="A81" s="97"/>
      <c r="B81" s="98" t="s">
        <v>107</v>
      </c>
      <c r="C81" s="99"/>
      <c r="D81" s="100"/>
      <c r="E81" s="101"/>
      <c r="F81" s="101"/>
      <c r="G81" s="101"/>
      <c r="H81" s="101"/>
      <c r="I81" s="101"/>
      <c r="J81" s="101"/>
      <c r="K81" s="102"/>
      <c r="L81" s="96"/>
    </row>
    <row r="82" s="86" customFormat="1" ht="24" customHeight="1" outlineLevel="1" spans="1:16">
      <c r="A82" s="92" t="s">
        <v>134</v>
      </c>
      <c r="B82" s="93" t="s">
        <v>520</v>
      </c>
      <c r="C82" s="93"/>
      <c r="D82" s="94"/>
      <c r="E82" s="95"/>
      <c r="F82" s="95"/>
      <c r="G82" s="95"/>
      <c r="H82" s="95"/>
      <c r="I82" s="95"/>
      <c r="J82" s="95"/>
      <c r="K82" s="23"/>
      <c r="L82" s="96"/>
    </row>
    <row r="83" s="86" customFormat="1" ht="24" customHeight="1" outlineLevel="1" spans="1:16">
      <c r="A83" s="97"/>
      <c r="B83" s="98" t="s">
        <v>55</v>
      </c>
      <c r="C83" s="99"/>
      <c r="D83" s="100"/>
      <c r="E83" s="101"/>
      <c r="F83" s="101"/>
      <c r="G83" s="101"/>
      <c r="H83" s="101"/>
      <c r="I83" s="101"/>
      <c r="J83" s="101"/>
      <c r="K83" s="102"/>
      <c r="L83" s="96"/>
    </row>
    <row r="84" s="86" customFormat="1" ht="96" outlineLevel="2" spans="1:16">
      <c r="A84" s="103">
        <f t="shared" ref="A84:A87" si="36">1+N(A83)</f>
        <v>1</v>
      </c>
      <c r="B84" s="98" t="s">
        <v>56</v>
      </c>
      <c r="C84" s="99" t="s">
        <v>57</v>
      </c>
      <c r="D84" s="100" t="s">
        <v>58</v>
      </c>
      <c r="E84" s="101">
        <v>3.966</v>
      </c>
      <c r="F84" s="101"/>
      <c r="G84" s="101"/>
      <c r="H84" s="27"/>
      <c r="I84" s="27">
        <f t="shared" ref="I84:I87" si="37">(F84+G84+H84)*$I$3</f>
        <v>0</v>
      </c>
      <c r="J84" s="28">
        <f t="shared" ref="J84:J87" si="38">ROUND(SUM(F84:I84),2)</f>
        <v>0</v>
      </c>
      <c r="K84" s="29">
        <f t="shared" ref="K84:K87" si="39">ROUND(J84*E84,2)</f>
        <v>0</v>
      </c>
      <c r="L84" s="96"/>
      <c r="P84" s="86">
        <v>1</v>
      </c>
    </row>
    <row r="85" s="86" customFormat="1" ht="108" outlineLevel="2" spans="1:16">
      <c r="A85" s="103">
        <f t="shared" si="36"/>
        <v>2</v>
      </c>
      <c r="B85" s="98" t="s">
        <v>59</v>
      </c>
      <c r="C85" s="99" t="s">
        <v>60</v>
      </c>
      <c r="D85" s="100" t="s">
        <v>58</v>
      </c>
      <c r="E85" s="101">
        <v>13.025</v>
      </c>
      <c r="F85" s="101"/>
      <c r="G85" s="101"/>
      <c r="H85" s="101"/>
      <c r="I85" s="27">
        <f t="shared" si="37"/>
        <v>0</v>
      </c>
      <c r="J85" s="28">
        <f t="shared" si="38"/>
        <v>0</v>
      </c>
      <c r="K85" s="29">
        <f t="shared" si="39"/>
        <v>0</v>
      </c>
      <c r="L85" s="96"/>
      <c r="P85" s="86">
        <v>1</v>
      </c>
    </row>
    <row r="86" s="86" customFormat="1" ht="36" outlineLevel="2" spans="1:16">
      <c r="A86" s="103">
        <f t="shared" si="36"/>
        <v>3</v>
      </c>
      <c r="B86" s="98" t="s">
        <v>63</v>
      </c>
      <c r="C86" s="99" t="s">
        <v>64</v>
      </c>
      <c r="D86" s="100" t="s">
        <v>65</v>
      </c>
      <c r="E86" s="101">
        <v>14.566</v>
      </c>
      <c r="F86" s="101"/>
      <c r="G86" s="101"/>
      <c r="H86" s="101"/>
      <c r="I86" s="27">
        <f t="shared" si="37"/>
        <v>0</v>
      </c>
      <c r="J86" s="28">
        <f t="shared" si="38"/>
        <v>0</v>
      </c>
      <c r="K86" s="29">
        <f t="shared" si="39"/>
        <v>0</v>
      </c>
      <c r="L86" s="96"/>
    </row>
    <row r="87" s="86" customFormat="1" ht="48" outlineLevel="2" spans="1:16">
      <c r="A87" s="103">
        <f t="shared" si="36"/>
        <v>4</v>
      </c>
      <c r="B87" s="98" t="s">
        <v>66</v>
      </c>
      <c r="C87" s="99" t="s">
        <v>67</v>
      </c>
      <c r="D87" s="100" t="s">
        <v>58</v>
      </c>
      <c r="E87" s="101">
        <f>+E84+E85</f>
        <v>16.991</v>
      </c>
      <c r="F87" s="101"/>
      <c r="G87" s="101"/>
      <c r="H87" s="101"/>
      <c r="I87" s="27">
        <f t="shared" si="37"/>
        <v>0</v>
      </c>
      <c r="J87" s="28">
        <f t="shared" si="38"/>
        <v>0</v>
      </c>
      <c r="K87" s="29">
        <f t="shared" si="39"/>
        <v>0</v>
      </c>
      <c r="L87" s="96"/>
    </row>
    <row r="88" s="86" customFormat="1" ht="24" customHeight="1" outlineLevel="1" spans="1:16">
      <c r="A88" s="97"/>
      <c r="B88" s="98" t="s">
        <v>489</v>
      </c>
      <c r="C88" s="99"/>
      <c r="D88" s="100"/>
      <c r="E88" s="101"/>
      <c r="F88" s="101"/>
      <c r="G88" s="101"/>
      <c r="H88" s="101"/>
      <c r="I88" s="101"/>
      <c r="J88" s="101"/>
      <c r="K88" s="102"/>
      <c r="L88" s="96"/>
    </row>
    <row r="89" s="86" customFormat="1" ht="72" outlineLevel="2" spans="1:16">
      <c r="A89" s="103">
        <f t="shared" ref="A89:A97" si="40">1+N(A88)</f>
        <v>1</v>
      </c>
      <c r="B89" s="104" t="s">
        <v>69</v>
      </c>
      <c r="C89" s="99" t="s">
        <v>70</v>
      </c>
      <c r="D89" s="100" t="s">
        <v>58</v>
      </c>
      <c r="E89" s="101">
        <v>5.319</v>
      </c>
      <c r="F89" s="101"/>
      <c r="G89" s="101"/>
      <c r="H89" s="101"/>
      <c r="I89" s="27">
        <f t="shared" ref="I89:I97" si="41">(F89+G89+H89)*$I$3</f>
        <v>0</v>
      </c>
      <c r="J89" s="28">
        <f t="shared" ref="J89:J97" si="42">ROUND(SUM(F89:I89),2)</f>
        <v>0</v>
      </c>
      <c r="K89" s="29">
        <f t="shared" ref="K89:K97" si="43">ROUND(J89*E89,2)</f>
        <v>0</v>
      </c>
      <c r="L89" s="96"/>
    </row>
    <row r="90" s="86" customFormat="1" ht="96" outlineLevel="2" spans="1:16">
      <c r="A90" s="103">
        <f t="shared" si="40"/>
        <v>2</v>
      </c>
      <c r="B90" s="105" t="s">
        <v>71</v>
      </c>
      <c r="C90" s="106" t="s">
        <v>72</v>
      </c>
      <c r="D90" s="100" t="s">
        <v>58</v>
      </c>
      <c r="E90" s="101">
        <v>25.262</v>
      </c>
      <c r="F90" s="101"/>
      <c r="G90" s="101"/>
      <c r="H90" s="101"/>
      <c r="I90" s="27">
        <f t="shared" si="41"/>
        <v>0</v>
      </c>
      <c r="J90" s="28">
        <f t="shared" si="42"/>
        <v>0</v>
      </c>
      <c r="K90" s="29">
        <f t="shared" si="43"/>
        <v>0</v>
      </c>
      <c r="L90" s="96"/>
    </row>
    <row r="91" s="86" customFormat="1" ht="60" customHeight="1" outlineLevel="2" spans="1:16">
      <c r="A91" s="103">
        <f t="shared" si="40"/>
        <v>3</v>
      </c>
      <c r="B91" s="98" t="s">
        <v>221</v>
      </c>
      <c r="C91" s="99" t="s">
        <v>220</v>
      </c>
      <c r="D91" s="100" t="s">
        <v>58</v>
      </c>
      <c r="E91" s="101">
        <v>2.091</v>
      </c>
      <c r="F91" s="101"/>
      <c r="G91" s="101"/>
      <c r="H91" s="101"/>
      <c r="I91" s="27">
        <f t="shared" si="41"/>
        <v>0</v>
      </c>
      <c r="J91" s="28">
        <f t="shared" si="42"/>
        <v>0</v>
      </c>
      <c r="K91" s="29">
        <f t="shared" si="43"/>
        <v>0</v>
      </c>
      <c r="L91" s="96"/>
    </row>
    <row r="92" s="86" customFormat="1" ht="48" outlineLevel="2" spans="1:16">
      <c r="A92" s="103">
        <f t="shared" si="40"/>
        <v>4</v>
      </c>
      <c r="B92" s="105" t="s">
        <v>79</v>
      </c>
      <c r="C92" s="106" t="s">
        <v>78</v>
      </c>
      <c r="D92" s="105" t="s">
        <v>58</v>
      </c>
      <c r="E92" s="101">
        <f>0.34*2.75*2*2</f>
        <v>3.74</v>
      </c>
      <c r="F92" s="101"/>
      <c r="G92" s="101"/>
      <c r="H92" s="101"/>
      <c r="I92" s="27">
        <f t="shared" si="41"/>
        <v>0</v>
      </c>
      <c r="J92" s="28">
        <f t="shared" si="42"/>
        <v>0</v>
      </c>
      <c r="K92" s="29">
        <f t="shared" si="43"/>
        <v>0</v>
      </c>
      <c r="L92" s="96"/>
    </row>
    <row r="93" s="86" customFormat="1" ht="60" outlineLevel="2" spans="1:16">
      <c r="A93" s="103">
        <f t="shared" si="40"/>
        <v>5</v>
      </c>
      <c r="B93" s="105" t="s">
        <v>80</v>
      </c>
      <c r="C93" s="106" t="s">
        <v>81</v>
      </c>
      <c r="D93" s="105" t="s">
        <v>58</v>
      </c>
      <c r="E93" s="101">
        <f>+(0.061+0.475+0.114+0.074)*0.95*2</f>
        <v>1.3756</v>
      </c>
      <c r="F93" s="101"/>
      <c r="G93" s="101"/>
      <c r="H93" s="101"/>
      <c r="I93" s="27">
        <f t="shared" si="41"/>
        <v>0</v>
      </c>
      <c r="J93" s="28">
        <f t="shared" si="42"/>
        <v>0</v>
      </c>
      <c r="K93" s="29">
        <f t="shared" si="43"/>
        <v>0</v>
      </c>
      <c r="L93" s="96"/>
    </row>
    <row r="94" s="86" customFormat="1" ht="48" outlineLevel="2" spans="1:16">
      <c r="A94" s="103">
        <f t="shared" si="40"/>
        <v>6</v>
      </c>
      <c r="B94" s="105" t="s">
        <v>82</v>
      </c>
      <c r="C94" s="106" t="s">
        <v>83</v>
      </c>
      <c r="D94" s="105" t="s">
        <v>58</v>
      </c>
      <c r="E94" s="101">
        <v>0.253</v>
      </c>
      <c r="F94" s="101"/>
      <c r="G94" s="101"/>
      <c r="H94" s="101"/>
      <c r="I94" s="27">
        <f t="shared" si="41"/>
        <v>0</v>
      </c>
      <c r="J94" s="28">
        <f t="shared" si="42"/>
        <v>0</v>
      </c>
      <c r="K94" s="29">
        <f t="shared" si="43"/>
        <v>0</v>
      </c>
      <c r="L94" s="96"/>
    </row>
    <row r="95" s="86" customFormat="1" ht="48" outlineLevel="2" spans="1:16">
      <c r="A95" s="103">
        <f t="shared" si="40"/>
        <v>7</v>
      </c>
      <c r="B95" s="105" t="s">
        <v>86</v>
      </c>
      <c r="C95" s="106" t="s">
        <v>87</v>
      </c>
      <c r="D95" s="105" t="s">
        <v>65</v>
      </c>
      <c r="E95" s="101">
        <v>11.965</v>
      </c>
      <c r="F95" s="101"/>
      <c r="G95" s="101"/>
      <c r="H95" s="101"/>
      <c r="I95" s="27">
        <f t="shared" si="41"/>
        <v>0</v>
      </c>
      <c r="J95" s="28">
        <f t="shared" si="42"/>
        <v>0</v>
      </c>
      <c r="K95" s="29">
        <f t="shared" si="43"/>
        <v>0</v>
      </c>
      <c r="L95" s="96"/>
    </row>
    <row r="96" s="86" customFormat="1" ht="48" outlineLevel="2" spans="1:16">
      <c r="A96" s="103">
        <f t="shared" si="40"/>
        <v>8</v>
      </c>
      <c r="B96" s="105" t="s">
        <v>92</v>
      </c>
      <c r="C96" s="106" t="s">
        <v>93</v>
      </c>
      <c r="D96" s="105" t="s">
        <v>65</v>
      </c>
      <c r="E96" s="101">
        <v>9.414</v>
      </c>
      <c r="F96" s="101"/>
      <c r="G96" s="101"/>
      <c r="H96" s="101"/>
      <c r="I96" s="27">
        <f t="shared" si="41"/>
        <v>0</v>
      </c>
      <c r="J96" s="28">
        <f t="shared" si="42"/>
        <v>0</v>
      </c>
      <c r="K96" s="29">
        <f t="shared" si="43"/>
        <v>0</v>
      </c>
      <c r="L96" s="96"/>
    </row>
    <row r="97" s="86" customFormat="1" ht="48" outlineLevel="2" spans="1:16">
      <c r="A97" s="103">
        <f t="shared" si="40"/>
        <v>9</v>
      </c>
      <c r="B97" s="105" t="s">
        <v>94</v>
      </c>
      <c r="C97" s="106" t="s">
        <v>95</v>
      </c>
      <c r="D97" s="105" t="s">
        <v>65</v>
      </c>
      <c r="E97" s="101">
        <v>12.798</v>
      </c>
      <c r="F97" s="101"/>
      <c r="G97" s="101"/>
      <c r="H97" s="101"/>
      <c r="I97" s="27">
        <f t="shared" si="41"/>
        <v>0</v>
      </c>
      <c r="J97" s="28">
        <f t="shared" si="42"/>
        <v>0</v>
      </c>
      <c r="K97" s="29">
        <f t="shared" si="43"/>
        <v>0</v>
      </c>
      <c r="L97" s="96"/>
    </row>
    <row r="98" s="86" customFormat="1" ht="24" customHeight="1" outlineLevel="1" spans="1:16">
      <c r="A98" s="97"/>
      <c r="B98" s="98" t="s">
        <v>96</v>
      </c>
      <c r="C98" s="99"/>
      <c r="D98" s="100"/>
      <c r="E98" s="101"/>
      <c r="F98" s="101"/>
      <c r="G98" s="101"/>
      <c r="H98" s="101"/>
      <c r="I98" s="101"/>
      <c r="J98" s="101"/>
      <c r="K98" s="102"/>
      <c r="L98" s="96"/>
    </row>
    <row r="99" s="86" customFormat="1" ht="96" outlineLevel="2" spans="1:16">
      <c r="A99" s="103">
        <f t="shared" ref="A99:A103" si="44">1+N(A98)</f>
        <v>1</v>
      </c>
      <c r="B99" s="98" t="s">
        <v>455</v>
      </c>
      <c r="C99" s="108" t="s">
        <v>98</v>
      </c>
      <c r="D99" s="100" t="s">
        <v>58</v>
      </c>
      <c r="E99" s="101">
        <v>17.814</v>
      </c>
      <c r="F99" s="101"/>
      <c r="G99" s="101"/>
      <c r="H99" s="101"/>
      <c r="I99" s="27">
        <f t="shared" ref="I99:I103" si="45">(F99+G99+H99)*$I$3</f>
        <v>0</v>
      </c>
      <c r="J99" s="28">
        <f t="shared" ref="J99:J103" si="46">ROUND(SUM(F99:I99),2)</f>
        <v>0</v>
      </c>
      <c r="K99" s="29">
        <f t="shared" ref="K99:K103" si="47">ROUND(J99*E99,2)</f>
        <v>0</v>
      </c>
      <c r="L99" s="96"/>
    </row>
    <row r="100" s="86" customFormat="1" ht="72" customHeight="1" outlineLevel="2" spans="1:16">
      <c r="A100" s="103">
        <f t="shared" si="44"/>
        <v>2</v>
      </c>
      <c r="B100" s="98" t="s">
        <v>516</v>
      </c>
      <c r="C100" s="108" t="s">
        <v>517</v>
      </c>
      <c r="D100" s="100" t="s">
        <v>65</v>
      </c>
      <c r="E100" s="101">
        <v>14.582</v>
      </c>
      <c r="F100" s="101"/>
      <c r="G100" s="101"/>
      <c r="H100" s="101"/>
      <c r="I100" s="27">
        <f t="shared" si="45"/>
        <v>0</v>
      </c>
      <c r="J100" s="28">
        <f t="shared" si="46"/>
        <v>0</v>
      </c>
      <c r="K100" s="29">
        <f t="shared" si="47"/>
        <v>0</v>
      </c>
      <c r="L100" s="96"/>
    </row>
    <row r="101" s="86" customFormat="1" ht="72" customHeight="1" outlineLevel="2" spans="1:16">
      <c r="A101" s="103">
        <f t="shared" si="44"/>
        <v>3</v>
      </c>
      <c r="B101" s="98" t="s">
        <v>101</v>
      </c>
      <c r="C101" s="99" t="s">
        <v>102</v>
      </c>
      <c r="D101" s="100" t="s">
        <v>65</v>
      </c>
      <c r="E101" s="101">
        <v>14.582</v>
      </c>
      <c r="F101" s="101"/>
      <c r="G101" s="101"/>
      <c r="H101" s="101"/>
      <c r="I101" s="27">
        <f t="shared" si="45"/>
        <v>0</v>
      </c>
      <c r="J101" s="28">
        <f t="shared" si="46"/>
        <v>0</v>
      </c>
      <c r="K101" s="29">
        <f t="shared" si="47"/>
        <v>0</v>
      </c>
      <c r="L101" s="96"/>
    </row>
    <row r="102" s="86" customFormat="1" ht="72" customHeight="1" outlineLevel="2" spans="1:16">
      <c r="A102" s="103">
        <f t="shared" si="44"/>
        <v>4</v>
      </c>
      <c r="B102" s="98" t="s">
        <v>103</v>
      </c>
      <c r="C102" s="99" t="s">
        <v>104</v>
      </c>
      <c r="D102" s="100" t="s">
        <v>65</v>
      </c>
      <c r="E102" s="101">
        <f>4.42*2</f>
        <v>8.84</v>
      </c>
      <c r="F102" s="101"/>
      <c r="G102" s="101"/>
      <c r="H102" s="101"/>
      <c r="I102" s="27">
        <f t="shared" si="45"/>
        <v>0</v>
      </c>
      <c r="J102" s="28">
        <f t="shared" si="46"/>
        <v>0</v>
      </c>
      <c r="K102" s="29">
        <f t="shared" si="47"/>
        <v>0</v>
      </c>
      <c r="L102" s="96"/>
    </row>
    <row r="103" s="86" customFormat="1" ht="72" customHeight="1" outlineLevel="2" spans="1:16">
      <c r="A103" s="103">
        <f t="shared" si="44"/>
        <v>5</v>
      </c>
      <c r="B103" s="98" t="s">
        <v>105</v>
      </c>
      <c r="C103" s="99" t="s">
        <v>106</v>
      </c>
      <c r="D103" s="100" t="s">
        <v>58</v>
      </c>
      <c r="E103" s="101">
        <v>23.553</v>
      </c>
      <c r="F103" s="101"/>
      <c r="G103" s="101"/>
      <c r="H103" s="101"/>
      <c r="I103" s="27">
        <f t="shared" si="45"/>
        <v>0</v>
      </c>
      <c r="J103" s="28">
        <f t="shared" si="46"/>
        <v>0</v>
      </c>
      <c r="K103" s="29">
        <f t="shared" si="47"/>
        <v>0</v>
      </c>
      <c r="L103" s="96"/>
    </row>
    <row r="104" s="86" customFormat="1" ht="24" customHeight="1" outlineLevel="1" spans="1:16">
      <c r="A104" s="97"/>
      <c r="B104" s="98" t="s">
        <v>107</v>
      </c>
      <c r="C104" s="99"/>
      <c r="D104" s="100"/>
      <c r="E104" s="101"/>
      <c r="F104" s="101"/>
      <c r="G104" s="101"/>
      <c r="H104" s="101"/>
      <c r="I104" s="101"/>
      <c r="J104" s="101"/>
      <c r="K104" s="102"/>
      <c r="L104" s="96"/>
    </row>
    <row r="105" s="86" customFormat="1" ht="24" customHeight="1" spans="1:16">
      <c r="A105" s="92" t="s">
        <v>159</v>
      </c>
      <c r="B105" s="93" t="s">
        <v>521</v>
      </c>
      <c r="C105" s="93"/>
      <c r="D105" s="94"/>
      <c r="E105" s="95"/>
      <c r="F105" s="95"/>
      <c r="G105" s="95"/>
      <c r="H105" s="95"/>
      <c r="I105" s="95"/>
      <c r="J105" s="95"/>
      <c r="K105" s="23">
        <f>SUM(K106:K203)</f>
        <v>0</v>
      </c>
      <c r="L105" s="96"/>
    </row>
    <row r="106" s="86" customFormat="1" ht="24" customHeight="1" outlineLevel="1" spans="1:16">
      <c r="A106" s="92" t="s">
        <v>53</v>
      </c>
      <c r="B106" s="93" t="s">
        <v>513</v>
      </c>
      <c r="C106" s="93"/>
      <c r="D106" s="94"/>
      <c r="E106" s="95"/>
      <c r="F106" s="95"/>
      <c r="G106" s="95"/>
      <c r="H106" s="95"/>
      <c r="I106" s="95"/>
      <c r="J106" s="95"/>
      <c r="K106" s="23"/>
      <c r="L106" s="96"/>
    </row>
    <row r="107" s="86" customFormat="1" ht="24" customHeight="1" outlineLevel="1" spans="1:16">
      <c r="A107" s="97"/>
      <c r="B107" s="98" t="s">
        <v>55</v>
      </c>
      <c r="C107" s="99"/>
      <c r="D107" s="100"/>
      <c r="E107" s="101"/>
      <c r="F107" s="101"/>
      <c r="G107" s="101"/>
      <c r="H107" s="101"/>
      <c r="I107" s="101"/>
      <c r="J107" s="101"/>
      <c r="K107" s="102"/>
      <c r="L107" s="96"/>
    </row>
    <row r="108" s="86" customFormat="1" ht="96" outlineLevel="2" spans="1:16">
      <c r="A108" s="103">
        <f t="shared" ref="A108:A111" si="48">1+N(A107)</f>
        <v>1</v>
      </c>
      <c r="B108" s="98" t="s">
        <v>56</v>
      </c>
      <c r="C108" s="99" t="s">
        <v>57</v>
      </c>
      <c r="D108" s="100" t="s">
        <v>58</v>
      </c>
      <c r="E108" s="101">
        <f>9.684+0.936+0.804</f>
        <v>11.424</v>
      </c>
      <c r="F108" s="101"/>
      <c r="G108" s="101"/>
      <c r="H108" s="27"/>
      <c r="I108" s="27">
        <f t="shared" ref="I108:I111" si="49">(F108+G108+H108)*$I$3</f>
        <v>0</v>
      </c>
      <c r="J108" s="28">
        <f t="shared" ref="J108:J111" si="50">ROUND(SUM(F108:I108),2)</f>
        <v>0</v>
      </c>
      <c r="K108" s="29">
        <f t="shared" ref="K108:K111" si="51">ROUND(J108*E108,2)</f>
        <v>0</v>
      </c>
      <c r="L108" s="96"/>
      <c r="P108" s="86">
        <v>2</v>
      </c>
    </row>
    <row r="109" s="86" customFormat="1" ht="108" outlineLevel="2" spans="1:16">
      <c r="A109" s="103">
        <f t="shared" si="48"/>
        <v>2</v>
      </c>
      <c r="B109" s="98" t="s">
        <v>59</v>
      </c>
      <c r="C109" s="99" t="s">
        <v>60</v>
      </c>
      <c r="D109" s="100" t="s">
        <v>58</v>
      </c>
      <c r="E109" s="101">
        <v>16.519</v>
      </c>
      <c r="F109" s="101"/>
      <c r="G109" s="101"/>
      <c r="H109" s="101"/>
      <c r="I109" s="27">
        <f t="shared" si="49"/>
        <v>0</v>
      </c>
      <c r="J109" s="28">
        <f t="shared" si="50"/>
        <v>0</v>
      </c>
      <c r="K109" s="29">
        <f t="shared" si="51"/>
        <v>0</v>
      </c>
      <c r="L109" s="96"/>
      <c r="P109" s="86">
        <v>2</v>
      </c>
    </row>
    <row r="110" s="86" customFormat="1" ht="36" outlineLevel="2" spans="1:16">
      <c r="A110" s="103">
        <f t="shared" si="48"/>
        <v>3</v>
      </c>
      <c r="B110" s="98" t="s">
        <v>63</v>
      </c>
      <c r="C110" s="99" t="s">
        <v>64</v>
      </c>
      <c r="D110" s="100" t="s">
        <v>65</v>
      </c>
      <c r="E110" s="101">
        <v>17.264</v>
      </c>
      <c r="F110" s="101"/>
      <c r="G110" s="101"/>
      <c r="H110" s="101"/>
      <c r="I110" s="27">
        <f t="shared" si="49"/>
        <v>0</v>
      </c>
      <c r="J110" s="28">
        <f t="shared" si="50"/>
        <v>0</v>
      </c>
      <c r="K110" s="29">
        <f t="shared" si="51"/>
        <v>0</v>
      </c>
      <c r="L110" s="96"/>
    </row>
    <row r="111" s="86" customFormat="1" ht="48" outlineLevel="2" spans="1:16">
      <c r="A111" s="103">
        <f t="shared" si="48"/>
        <v>4</v>
      </c>
      <c r="B111" s="98" t="s">
        <v>66</v>
      </c>
      <c r="C111" s="99" t="s">
        <v>67</v>
      </c>
      <c r="D111" s="100" t="s">
        <v>58</v>
      </c>
      <c r="E111" s="101">
        <f>+E108+E109</f>
        <v>27.943</v>
      </c>
      <c r="F111" s="101"/>
      <c r="G111" s="101"/>
      <c r="H111" s="101"/>
      <c r="I111" s="27">
        <f t="shared" si="49"/>
        <v>0</v>
      </c>
      <c r="J111" s="28">
        <f t="shared" si="50"/>
        <v>0</v>
      </c>
      <c r="K111" s="29">
        <f t="shared" si="51"/>
        <v>0</v>
      </c>
      <c r="L111" s="96"/>
    </row>
    <row r="112" s="86" customFormat="1" ht="24" customHeight="1" outlineLevel="1" spans="1:16">
      <c r="A112" s="97"/>
      <c r="B112" s="98" t="s">
        <v>489</v>
      </c>
      <c r="C112" s="99"/>
      <c r="D112" s="100"/>
      <c r="E112" s="101"/>
      <c r="F112" s="101"/>
      <c r="G112" s="101"/>
      <c r="H112" s="101"/>
      <c r="I112" s="101"/>
      <c r="J112" s="101"/>
      <c r="K112" s="102"/>
      <c r="L112" s="96"/>
    </row>
    <row r="113" s="86" customFormat="1" ht="72" outlineLevel="2" spans="1:12">
      <c r="A113" s="103">
        <f t="shared" ref="A113:A124" si="52">1+N(A112)</f>
        <v>1</v>
      </c>
      <c r="B113" s="104" t="s">
        <v>69</v>
      </c>
      <c r="C113" s="99" t="s">
        <v>70</v>
      </c>
      <c r="D113" s="100" t="s">
        <v>58</v>
      </c>
      <c r="E113" s="101">
        <v>6.099</v>
      </c>
      <c r="F113" s="101"/>
      <c r="G113" s="101"/>
      <c r="H113" s="101"/>
      <c r="I113" s="27">
        <f t="shared" ref="I113:I124" si="53">(F113+G113+H113)*$I$3</f>
        <v>0</v>
      </c>
      <c r="J113" s="28">
        <f t="shared" ref="J113:J124" si="54">ROUND(SUM(F113:I113),2)</f>
        <v>0</v>
      </c>
      <c r="K113" s="29">
        <f t="shared" ref="K113:K124" si="55">ROUND(J113*E113,2)</f>
        <v>0</v>
      </c>
      <c r="L113" s="96"/>
    </row>
    <row r="114" s="86" customFormat="1" ht="96" outlineLevel="2" spans="1:12">
      <c r="A114" s="103">
        <f t="shared" si="52"/>
        <v>2</v>
      </c>
      <c r="B114" s="105" t="s">
        <v>71</v>
      </c>
      <c r="C114" s="106" t="s">
        <v>72</v>
      </c>
      <c r="D114" s="100" t="s">
        <v>58</v>
      </c>
      <c r="E114" s="101">
        <v>24.873</v>
      </c>
      <c r="F114" s="101"/>
      <c r="G114" s="101"/>
      <c r="H114" s="101"/>
      <c r="I114" s="27">
        <f t="shared" si="53"/>
        <v>0</v>
      </c>
      <c r="J114" s="28">
        <f t="shared" si="54"/>
        <v>0</v>
      </c>
      <c r="K114" s="29">
        <f t="shared" si="55"/>
        <v>0</v>
      </c>
      <c r="L114" s="96"/>
    </row>
    <row r="115" s="86" customFormat="1" ht="60" customHeight="1" outlineLevel="2" spans="1:12">
      <c r="A115" s="103">
        <f t="shared" si="52"/>
        <v>3</v>
      </c>
      <c r="B115" s="98" t="s">
        <v>221</v>
      </c>
      <c r="C115" s="99" t="s">
        <v>220</v>
      </c>
      <c r="D115" s="100" t="s">
        <v>58</v>
      </c>
      <c r="E115" s="101">
        <v>4.93</v>
      </c>
      <c r="F115" s="101"/>
      <c r="G115" s="101"/>
      <c r="H115" s="101"/>
      <c r="I115" s="27">
        <f t="shared" si="53"/>
        <v>0</v>
      </c>
      <c r="J115" s="28">
        <f t="shared" si="54"/>
        <v>0</v>
      </c>
      <c r="K115" s="29">
        <f t="shared" si="55"/>
        <v>0</v>
      </c>
      <c r="L115" s="96"/>
    </row>
    <row r="116" s="86" customFormat="1" ht="72" outlineLevel="2" spans="1:12">
      <c r="A116" s="103">
        <f t="shared" si="52"/>
        <v>4</v>
      </c>
      <c r="B116" s="107" t="s">
        <v>223</v>
      </c>
      <c r="C116" s="99" t="s">
        <v>224</v>
      </c>
      <c r="D116" s="100" t="s">
        <v>58</v>
      </c>
      <c r="E116" s="101">
        <v>25.481</v>
      </c>
      <c r="F116" s="101"/>
      <c r="G116" s="101"/>
      <c r="H116" s="101"/>
      <c r="I116" s="27">
        <f t="shared" si="53"/>
        <v>0</v>
      </c>
      <c r="J116" s="28">
        <f t="shared" si="54"/>
        <v>0</v>
      </c>
      <c r="K116" s="29">
        <f t="shared" si="55"/>
        <v>0</v>
      </c>
      <c r="L116" s="96"/>
    </row>
    <row r="117" s="86" customFormat="1" ht="48" outlineLevel="2" spans="1:12">
      <c r="A117" s="103">
        <f t="shared" si="52"/>
        <v>5</v>
      </c>
      <c r="B117" s="105" t="s">
        <v>77</v>
      </c>
      <c r="C117" s="106" t="s">
        <v>78</v>
      </c>
      <c r="D117" s="105" t="s">
        <v>58</v>
      </c>
      <c r="E117" s="101">
        <f>0.21*2.2*2+0.15*1.11</f>
        <v>1.0905</v>
      </c>
      <c r="F117" s="101"/>
      <c r="G117" s="101"/>
      <c r="H117" s="101"/>
      <c r="I117" s="27">
        <f t="shared" si="53"/>
        <v>0</v>
      </c>
      <c r="J117" s="28">
        <f t="shared" si="54"/>
        <v>0</v>
      </c>
      <c r="K117" s="29">
        <f t="shared" si="55"/>
        <v>0</v>
      </c>
      <c r="L117" s="96"/>
    </row>
    <row r="118" s="86" customFormat="1" ht="48" outlineLevel="2" spans="1:12">
      <c r="A118" s="103">
        <f t="shared" si="52"/>
        <v>6</v>
      </c>
      <c r="B118" s="105" t="s">
        <v>79</v>
      </c>
      <c r="C118" s="106" t="s">
        <v>78</v>
      </c>
      <c r="D118" s="105" t="s">
        <v>58</v>
      </c>
      <c r="E118" s="101">
        <f>0.34*2.5*2*2</f>
        <v>3.4</v>
      </c>
      <c r="F118" s="101"/>
      <c r="G118" s="101"/>
      <c r="H118" s="101"/>
      <c r="I118" s="27">
        <f t="shared" si="53"/>
        <v>0</v>
      </c>
      <c r="J118" s="28">
        <f t="shared" si="54"/>
        <v>0</v>
      </c>
      <c r="K118" s="29">
        <f t="shared" si="55"/>
        <v>0</v>
      </c>
      <c r="L118" s="96"/>
    </row>
    <row r="119" s="86" customFormat="1" ht="60" outlineLevel="2" spans="1:12">
      <c r="A119" s="103">
        <f t="shared" si="52"/>
        <v>7</v>
      </c>
      <c r="B119" s="105" t="s">
        <v>80</v>
      </c>
      <c r="C119" s="106" t="s">
        <v>81</v>
      </c>
      <c r="D119" s="105" t="s">
        <v>58</v>
      </c>
      <c r="E119" s="101">
        <f>+(0.061+0.22+0.114+0.074)*0.95*2</f>
        <v>0.8911</v>
      </c>
      <c r="F119" s="101"/>
      <c r="G119" s="101"/>
      <c r="H119" s="101"/>
      <c r="I119" s="27">
        <f t="shared" si="53"/>
        <v>0</v>
      </c>
      <c r="J119" s="28">
        <f t="shared" si="54"/>
        <v>0</v>
      </c>
      <c r="K119" s="29">
        <f t="shared" si="55"/>
        <v>0</v>
      </c>
      <c r="L119" s="96"/>
    </row>
    <row r="120" s="86" customFormat="1" ht="48" outlineLevel="2" spans="1:12">
      <c r="A120" s="103">
        <f t="shared" si="52"/>
        <v>8</v>
      </c>
      <c r="B120" s="105" t="s">
        <v>82</v>
      </c>
      <c r="C120" s="106" t="s">
        <v>83</v>
      </c>
      <c r="D120" s="105" t="s">
        <v>58</v>
      </c>
      <c r="E120" s="101">
        <v>0.253</v>
      </c>
      <c r="F120" s="101"/>
      <c r="G120" s="101"/>
      <c r="H120" s="101"/>
      <c r="I120" s="27">
        <f t="shared" si="53"/>
        <v>0</v>
      </c>
      <c r="J120" s="28">
        <f t="shared" si="54"/>
        <v>0</v>
      </c>
      <c r="K120" s="29">
        <f t="shared" si="55"/>
        <v>0</v>
      </c>
      <c r="L120" s="96"/>
    </row>
    <row r="121" s="86" customFormat="1" ht="48" outlineLevel="2" spans="1:12">
      <c r="A121" s="103">
        <f t="shared" si="52"/>
        <v>9</v>
      </c>
      <c r="B121" s="105" t="s">
        <v>86</v>
      </c>
      <c r="C121" s="106" t="s">
        <v>87</v>
      </c>
      <c r="D121" s="105" t="s">
        <v>65</v>
      </c>
      <c r="E121" s="101">
        <v>26.415</v>
      </c>
      <c r="F121" s="101"/>
      <c r="G121" s="101"/>
      <c r="H121" s="101"/>
      <c r="I121" s="27">
        <f t="shared" si="53"/>
        <v>0</v>
      </c>
      <c r="J121" s="28">
        <f t="shared" si="54"/>
        <v>0</v>
      </c>
      <c r="K121" s="29">
        <f t="shared" si="55"/>
        <v>0</v>
      </c>
      <c r="L121" s="96"/>
    </row>
    <row r="122" s="86" customFormat="1" ht="36" outlineLevel="2" spans="1:12">
      <c r="A122" s="103">
        <f t="shared" si="52"/>
        <v>10</v>
      </c>
      <c r="B122" s="105" t="s">
        <v>514</v>
      </c>
      <c r="C122" s="106" t="s">
        <v>515</v>
      </c>
      <c r="D122" s="105" t="s">
        <v>65</v>
      </c>
      <c r="E122" s="101">
        <v>11.877</v>
      </c>
      <c r="F122" s="101"/>
      <c r="G122" s="101"/>
      <c r="H122" s="101"/>
      <c r="I122" s="27">
        <f t="shared" si="53"/>
        <v>0</v>
      </c>
      <c r="J122" s="28">
        <f t="shared" si="54"/>
        <v>0</v>
      </c>
      <c r="K122" s="29">
        <f t="shared" si="55"/>
        <v>0</v>
      </c>
      <c r="L122" s="96"/>
    </row>
    <row r="123" s="86" customFormat="1" ht="48" outlineLevel="2" spans="1:12">
      <c r="A123" s="103">
        <f t="shared" si="52"/>
        <v>11</v>
      </c>
      <c r="B123" s="105" t="s">
        <v>92</v>
      </c>
      <c r="C123" s="106" t="s">
        <v>93</v>
      </c>
      <c r="D123" s="105" t="s">
        <v>65</v>
      </c>
      <c r="E123" s="101">
        <v>10.795</v>
      </c>
      <c r="F123" s="101"/>
      <c r="G123" s="101"/>
      <c r="H123" s="101"/>
      <c r="I123" s="27">
        <f t="shared" si="53"/>
        <v>0</v>
      </c>
      <c r="J123" s="28">
        <f t="shared" si="54"/>
        <v>0</v>
      </c>
      <c r="K123" s="29">
        <f t="shared" si="55"/>
        <v>0</v>
      </c>
      <c r="L123" s="96"/>
    </row>
    <row r="124" s="86" customFormat="1" ht="48" outlineLevel="2" spans="1:12">
      <c r="A124" s="103">
        <f t="shared" si="52"/>
        <v>12</v>
      </c>
      <c r="B124" s="105" t="s">
        <v>94</v>
      </c>
      <c r="C124" s="106" t="s">
        <v>95</v>
      </c>
      <c r="D124" s="105" t="s">
        <v>65</v>
      </c>
      <c r="E124" s="101">
        <v>26.025</v>
      </c>
      <c r="F124" s="101"/>
      <c r="G124" s="101"/>
      <c r="H124" s="101"/>
      <c r="I124" s="27">
        <f t="shared" si="53"/>
        <v>0</v>
      </c>
      <c r="J124" s="28">
        <f t="shared" si="54"/>
        <v>0</v>
      </c>
      <c r="K124" s="29">
        <f t="shared" si="55"/>
        <v>0</v>
      </c>
      <c r="L124" s="96"/>
    </row>
    <row r="125" s="86" customFormat="1" ht="24" customHeight="1" outlineLevel="1" spans="1:12">
      <c r="A125" s="97"/>
      <c r="B125" s="98" t="s">
        <v>96</v>
      </c>
      <c r="C125" s="99"/>
      <c r="D125" s="100"/>
      <c r="E125" s="101"/>
      <c r="F125" s="101"/>
      <c r="G125" s="101"/>
      <c r="H125" s="101"/>
      <c r="I125" s="101"/>
      <c r="J125" s="101"/>
      <c r="K125" s="102"/>
      <c r="L125" s="96"/>
    </row>
    <row r="126" s="86" customFormat="1" ht="96" outlineLevel="2" spans="1:12">
      <c r="A126" s="103">
        <f t="shared" ref="A126:A130" si="56">1+N(A125)</f>
        <v>1</v>
      </c>
      <c r="B126" s="98" t="s">
        <v>455</v>
      </c>
      <c r="C126" s="108" t="s">
        <v>98</v>
      </c>
      <c r="D126" s="100" t="s">
        <v>58</v>
      </c>
      <c r="E126" s="101">
        <v>28.095</v>
      </c>
      <c r="F126" s="101"/>
      <c r="G126" s="101"/>
      <c r="H126" s="101"/>
      <c r="I126" s="27">
        <f t="shared" ref="I126:I130" si="57">(F126+G126+H126)*$I$3</f>
        <v>0</v>
      </c>
      <c r="J126" s="28">
        <f t="shared" ref="J126:J130" si="58">ROUND(SUM(F126:I126),2)</f>
        <v>0</v>
      </c>
      <c r="K126" s="29">
        <f t="shared" ref="K126:K130" si="59">ROUND(J126*E126,2)</f>
        <v>0</v>
      </c>
      <c r="L126" s="96"/>
    </row>
    <row r="127" s="86" customFormat="1" ht="72" customHeight="1" outlineLevel="2" spans="1:12">
      <c r="A127" s="103">
        <f t="shared" si="56"/>
        <v>2</v>
      </c>
      <c r="B127" s="98" t="s">
        <v>99</v>
      </c>
      <c r="C127" s="108" t="s">
        <v>100</v>
      </c>
      <c r="D127" s="100" t="s">
        <v>65</v>
      </c>
      <c r="E127" s="101">
        <v>17.282</v>
      </c>
      <c r="F127" s="101"/>
      <c r="G127" s="101"/>
      <c r="H127" s="101"/>
      <c r="I127" s="27">
        <f t="shared" si="57"/>
        <v>0</v>
      </c>
      <c r="J127" s="28">
        <f t="shared" si="58"/>
        <v>0</v>
      </c>
      <c r="K127" s="29">
        <f t="shared" si="59"/>
        <v>0</v>
      </c>
      <c r="L127" s="96"/>
    </row>
    <row r="128" s="86" customFormat="1" ht="72" customHeight="1" outlineLevel="2" spans="1:12">
      <c r="A128" s="103">
        <f t="shared" si="56"/>
        <v>3</v>
      </c>
      <c r="B128" s="98" t="s">
        <v>101</v>
      </c>
      <c r="C128" s="99" t="s">
        <v>102</v>
      </c>
      <c r="D128" s="100" t="s">
        <v>65</v>
      </c>
      <c r="E128" s="101">
        <v>17.282</v>
      </c>
      <c r="F128" s="101"/>
      <c r="G128" s="101"/>
      <c r="H128" s="101"/>
      <c r="I128" s="27">
        <f t="shared" si="57"/>
        <v>0</v>
      </c>
      <c r="J128" s="28">
        <f t="shared" si="58"/>
        <v>0</v>
      </c>
      <c r="K128" s="29">
        <f t="shared" si="59"/>
        <v>0</v>
      </c>
      <c r="L128" s="96"/>
    </row>
    <row r="129" s="86" customFormat="1" ht="72" customHeight="1" outlineLevel="2" spans="1:16">
      <c r="A129" s="103">
        <f t="shared" si="56"/>
        <v>4</v>
      </c>
      <c r="B129" s="98" t="s">
        <v>103</v>
      </c>
      <c r="C129" s="99" t="s">
        <v>104</v>
      </c>
      <c r="D129" s="100" t="s">
        <v>65</v>
      </c>
      <c r="E129" s="101">
        <f>5.12*2</f>
        <v>10.24</v>
      </c>
      <c r="F129" s="101"/>
      <c r="G129" s="101"/>
      <c r="H129" s="101"/>
      <c r="I129" s="27">
        <f t="shared" si="57"/>
        <v>0</v>
      </c>
      <c r="J129" s="28">
        <f t="shared" si="58"/>
        <v>0</v>
      </c>
      <c r="K129" s="29">
        <f t="shared" si="59"/>
        <v>0</v>
      </c>
      <c r="L129" s="96"/>
    </row>
    <row r="130" s="86" customFormat="1" ht="72" customHeight="1" outlineLevel="2" spans="1:16">
      <c r="A130" s="103">
        <f t="shared" si="56"/>
        <v>5</v>
      </c>
      <c r="B130" s="98" t="s">
        <v>105</v>
      </c>
      <c r="C130" s="99" t="s">
        <v>106</v>
      </c>
      <c r="D130" s="100" t="s">
        <v>58</v>
      </c>
      <c r="E130" s="101">
        <v>34.044</v>
      </c>
      <c r="F130" s="101"/>
      <c r="G130" s="101"/>
      <c r="H130" s="101"/>
      <c r="I130" s="27">
        <f t="shared" si="57"/>
        <v>0</v>
      </c>
      <c r="J130" s="28">
        <f t="shared" si="58"/>
        <v>0</v>
      </c>
      <c r="K130" s="29">
        <f t="shared" si="59"/>
        <v>0</v>
      </c>
      <c r="L130" s="96"/>
    </row>
    <row r="131" s="86" customFormat="1" ht="24" customHeight="1" outlineLevel="1" spans="1:16">
      <c r="A131" s="97"/>
      <c r="B131" s="98" t="s">
        <v>107</v>
      </c>
      <c r="C131" s="99"/>
      <c r="D131" s="100"/>
      <c r="E131" s="101"/>
      <c r="F131" s="101"/>
      <c r="G131" s="101"/>
      <c r="H131" s="101"/>
      <c r="I131" s="101"/>
      <c r="J131" s="101"/>
      <c r="K131" s="102"/>
      <c r="L131" s="96"/>
    </row>
    <row r="132" s="86" customFormat="1" ht="24" customHeight="1" outlineLevel="1" spans="1:16">
      <c r="A132" s="92" t="s">
        <v>114</v>
      </c>
      <c r="B132" s="93" t="s">
        <v>518</v>
      </c>
      <c r="C132" s="93"/>
      <c r="D132" s="94"/>
      <c r="E132" s="95"/>
      <c r="F132" s="95"/>
      <c r="G132" s="95"/>
      <c r="H132" s="95"/>
      <c r="I132" s="95"/>
      <c r="J132" s="95"/>
      <c r="K132" s="23"/>
      <c r="L132" s="96"/>
    </row>
    <row r="133" s="86" customFormat="1" ht="24" customHeight="1" outlineLevel="1" spans="1:16">
      <c r="A133" s="97"/>
      <c r="B133" s="98" t="s">
        <v>55</v>
      </c>
      <c r="C133" s="99"/>
      <c r="D133" s="100"/>
      <c r="E133" s="101"/>
      <c r="F133" s="101"/>
      <c r="G133" s="101"/>
      <c r="H133" s="101"/>
      <c r="I133" s="101"/>
      <c r="J133" s="101"/>
      <c r="K133" s="102"/>
      <c r="L133" s="96"/>
    </row>
    <row r="134" s="86" customFormat="1" ht="96" outlineLevel="2" spans="1:16">
      <c r="A134" s="103">
        <f t="shared" ref="A134:A137" si="60">1+N(A133)</f>
        <v>1</v>
      </c>
      <c r="B134" s="98" t="s">
        <v>56</v>
      </c>
      <c r="C134" s="99" t="s">
        <v>57</v>
      </c>
      <c r="D134" s="100" t="s">
        <v>58</v>
      </c>
      <c r="E134" s="101">
        <v>9.212</v>
      </c>
      <c r="F134" s="101"/>
      <c r="G134" s="101"/>
      <c r="H134" s="27"/>
      <c r="I134" s="27">
        <f t="shared" ref="I134:I137" si="61">(F134+G134+H134)*$I$3</f>
        <v>0</v>
      </c>
      <c r="J134" s="28">
        <f t="shared" ref="J134:J137" si="62">ROUND(SUM(F134:I134),2)</f>
        <v>0</v>
      </c>
      <c r="K134" s="29">
        <f t="shared" ref="K134:K137" si="63">ROUND(J134*E134,2)</f>
        <v>0</v>
      </c>
      <c r="L134" s="96"/>
      <c r="P134" s="86">
        <v>2</v>
      </c>
    </row>
    <row r="135" s="86" customFormat="1" ht="108" outlineLevel="2" spans="1:16">
      <c r="A135" s="103">
        <f t="shared" si="60"/>
        <v>2</v>
      </c>
      <c r="B135" s="98" t="s">
        <v>59</v>
      </c>
      <c r="C135" s="99" t="s">
        <v>60</v>
      </c>
      <c r="D135" s="100" t="s">
        <v>58</v>
      </c>
      <c r="E135" s="101">
        <v>11.419</v>
      </c>
      <c r="F135" s="101"/>
      <c r="G135" s="101"/>
      <c r="H135" s="101"/>
      <c r="I135" s="27">
        <f t="shared" si="61"/>
        <v>0</v>
      </c>
      <c r="J135" s="28">
        <f t="shared" si="62"/>
        <v>0</v>
      </c>
      <c r="K135" s="29">
        <f t="shared" si="63"/>
        <v>0</v>
      </c>
      <c r="L135" s="96"/>
      <c r="P135" s="86">
        <v>2</v>
      </c>
    </row>
    <row r="136" s="86" customFormat="1" ht="36" outlineLevel="2" spans="1:16">
      <c r="A136" s="103">
        <f t="shared" si="60"/>
        <v>3</v>
      </c>
      <c r="B136" s="98" t="s">
        <v>63</v>
      </c>
      <c r="C136" s="99" t="s">
        <v>64</v>
      </c>
      <c r="D136" s="100" t="s">
        <v>65</v>
      </c>
      <c r="E136" s="101">
        <v>13.326</v>
      </c>
      <c r="F136" s="101"/>
      <c r="G136" s="101"/>
      <c r="H136" s="101"/>
      <c r="I136" s="27">
        <f t="shared" si="61"/>
        <v>0</v>
      </c>
      <c r="J136" s="28">
        <f t="shared" si="62"/>
        <v>0</v>
      </c>
      <c r="K136" s="29">
        <f t="shared" si="63"/>
        <v>0</v>
      </c>
      <c r="L136" s="96"/>
    </row>
    <row r="137" s="86" customFormat="1" ht="48" outlineLevel="2" spans="1:16">
      <c r="A137" s="103">
        <f t="shared" si="60"/>
        <v>4</v>
      </c>
      <c r="B137" s="98" t="s">
        <v>66</v>
      </c>
      <c r="C137" s="99" t="s">
        <v>67</v>
      </c>
      <c r="D137" s="100" t="s">
        <v>58</v>
      </c>
      <c r="E137" s="101">
        <f>+E134+E135</f>
        <v>20.631</v>
      </c>
      <c r="F137" s="101"/>
      <c r="G137" s="101"/>
      <c r="H137" s="101"/>
      <c r="I137" s="27">
        <f t="shared" si="61"/>
        <v>0</v>
      </c>
      <c r="J137" s="28">
        <f t="shared" si="62"/>
        <v>0</v>
      </c>
      <c r="K137" s="29">
        <f t="shared" si="63"/>
        <v>0</v>
      </c>
      <c r="L137" s="96"/>
    </row>
    <row r="138" s="86" customFormat="1" ht="24" customHeight="1" outlineLevel="1" spans="1:16">
      <c r="A138" s="97"/>
      <c r="B138" s="98" t="s">
        <v>489</v>
      </c>
      <c r="C138" s="99"/>
      <c r="D138" s="100"/>
      <c r="E138" s="101"/>
      <c r="F138" s="101"/>
      <c r="G138" s="101"/>
      <c r="H138" s="101"/>
      <c r="I138" s="101"/>
      <c r="J138" s="101"/>
      <c r="K138" s="102"/>
      <c r="L138" s="96"/>
    </row>
    <row r="139" s="86" customFormat="1" ht="72" outlineLevel="2" spans="1:16">
      <c r="A139" s="103">
        <f t="shared" ref="A139:A147" si="64">1+N(A138)</f>
        <v>1</v>
      </c>
      <c r="B139" s="104" t="s">
        <v>69</v>
      </c>
      <c r="C139" s="99" t="s">
        <v>70</v>
      </c>
      <c r="D139" s="100" t="s">
        <v>58</v>
      </c>
      <c r="E139" s="101">
        <v>8.616</v>
      </c>
      <c r="F139" s="101"/>
      <c r="G139" s="101"/>
      <c r="H139" s="101"/>
      <c r="I139" s="27">
        <f t="shared" ref="I139:I147" si="65">(F139+G139+H139)*$I$3</f>
        <v>0</v>
      </c>
      <c r="J139" s="28">
        <f t="shared" ref="J139:J147" si="66">ROUND(SUM(F139:I139),2)</f>
        <v>0</v>
      </c>
      <c r="K139" s="29">
        <f t="shared" ref="K139:K147" si="67">ROUND(J139*E139,2)</f>
        <v>0</v>
      </c>
      <c r="L139" s="96"/>
    </row>
    <row r="140" s="86" customFormat="1" ht="96" outlineLevel="2" spans="1:16">
      <c r="A140" s="103">
        <f t="shared" si="64"/>
        <v>2</v>
      </c>
      <c r="B140" s="105" t="s">
        <v>71</v>
      </c>
      <c r="C140" s="106" t="s">
        <v>72</v>
      </c>
      <c r="D140" s="100" t="s">
        <v>58</v>
      </c>
      <c r="E140" s="101">
        <v>32.545</v>
      </c>
      <c r="F140" s="101"/>
      <c r="G140" s="101"/>
      <c r="H140" s="101"/>
      <c r="I140" s="27">
        <f t="shared" si="65"/>
        <v>0</v>
      </c>
      <c r="J140" s="28">
        <f t="shared" si="66"/>
        <v>0</v>
      </c>
      <c r="K140" s="29">
        <f t="shared" si="67"/>
        <v>0</v>
      </c>
      <c r="L140" s="96"/>
    </row>
    <row r="141" s="86" customFormat="1" ht="60" customHeight="1" outlineLevel="2" spans="1:16">
      <c r="A141" s="103">
        <f t="shared" si="64"/>
        <v>3</v>
      </c>
      <c r="B141" s="98" t="s">
        <v>221</v>
      </c>
      <c r="C141" s="99" t="s">
        <v>220</v>
      </c>
      <c r="D141" s="100" t="s">
        <v>58</v>
      </c>
      <c r="E141" s="101">
        <v>1.901</v>
      </c>
      <c r="F141" s="101"/>
      <c r="G141" s="101"/>
      <c r="H141" s="101"/>
      <c r="I141" s="27">
        <f t="shared" si="65"/>
        <v>0</v>
      </c>
      <c r="J141" s="28">
        <f t="shared" si="66"/>
        <v>0</v>
      </c>
      <c r="K141" s="29">
        <f t="shared" si="67"/>
        <v>0</v>
      </c>
      <c r="L141" s="96"/>
    </row>
    <row r="142" s="86" customFormat="1" ht="48" outlineLevel="2" spans="1:16">
      <c r="A142" s="103">
        <f t="shared" si="64"/>
        <v>4</v>
      </c>
      <c r="B142" s="105" t="s">
        <v>79</v>
      </c>
      <c r="C142" s="106" t="s">
        <v>78</v>
      </c>
      <c r="D142" s="105" t="s">
        <v>58</v>
      </c>
      <c r="E142" s="101">
        <f>0.34*2.5*2*2</f>
        <v>3.4</v>
      </c>
      <c r="F142" s="101"/>
      <c r="G142" s="101"/>
      <c r="H142" s="101"/>
      <c r="I142" s="27">
        <f t="shared" si="65"/>
        <v>0</v>
      </c>
      <c r="J142" s="28">
        <f t="shared" si="66"/>
        <v>0</v>
      </c>
      <c r="K142" s="29">
        <f t="shared" si="67"/>
        <v>0</v>
      </c>
      <c r="L142" s="96"/>
    </row>
    <row r="143" s="86" customFormat="1" ht="60" outlineLevel="2" spans="1:16">
      <c r="A143" s="103">
        <f t="shared" si="64"/>
        <v>5</v>
      </c>
      <c r="B143" s="105" t="s">
        <v>80</v>
      </c>
      <c r="C143" s="106" t="s">
        <v>81</v>
      </c>
      <c r="D143" s="105" t="s">
        <v>58</v>
      </c>
      <c r="E143" s="101">
        <f>+(0.061+0.22+0.114+0.074)*0.95*2</f>
        <v>0.8911</v>
      </c>
      <c r="F143" s="101"/>
      <c r="G143" s="101"/>
      <c r="H143" s="101"/>
      <c r="I143" s="27">
        <f t="shared" si="65"/>
        <v>0</v>
      </c>
      <c r="J143" s="28">
        <f t="shared" si="66"/>
        <v>0</v>
      </c>
      <c r="K143" s="29">
        <f t="shared" si="67"/>
        <v>0</v>
      </c>
      <c r="L143" s="96"/>
    </row>
    <row r="144" s="86" customFormat="1" ht="48" outlineLevel="2" spans="1:16">
      <c r="A144" s="103">
        <f t="shared" si="64"/>
        <v>6</v>
      </c>
      <c r="B144" s="105" t="s">
        <v>82</v>
      </c>
      <c r="C144" s="106" t="s">
        <v>83</v>
      </c>
      <c r="D144" s="105" t="s">
        <v>58</v>
      </c>
      <c r="E144" s="101">
        <v>0.253</v>
      </c>
      <c r="F144" s="101"/>
      <c r="G144" s="101"/>
      <c r="H144" s="101"/>
      <c r="I144" s="27">
        <f t="shared" si="65"/>
        <v>0</v>
      </c>
      <c r="J144" s="28">
        <f t="shared" si="66"/>
        <v>0</v>
      </c>
      <c r="K144" s="29">
        <f t="shared" si="67"/>
        <v>0</v>
      </c>
      <c r="L144" s="96"/>
    </row>
    <row r="145" s="86" customFormat="1" ht="48" outlineLevel="2" spans="1:16">
      <c r="A145" s="103">
        <f t="shared" si="64"/>
        <v>7</v>
      </c>
      <c r="B145" s="105" t="s">
        <v>86</v>
      </c>
      <c r="C145" s="106" t="s">
        <v>87</v>
      </c>
      <c r="D145" s="105" t="s">
        <v>65</v>
      </c>
      <c r="E145" s="101">
        <v>17.886</v>
      </c>
      <c r="F145" s="101"/>
      <c r="G145" s="101"/>
      <c r="H145" s="101"/>
      <c r="I145" s="27">
        <f t="shared" si="65"/>
        <v>0</v>
      </c>
      <c r="J145" s="28">
        <f t="shared" si="66"/>
        <v>0</v>
      </c>
      <c r="K145" s="29">
        <f t="shared" si="67"/>
        <v>0</v>
      </c>
      <c r="L145" s="96"/>
    </row>
    <row r="146" s="86" customFormat="1" ht="48" outlineLevel="2" spans="1:16">
      <c r="A146" s="103">
        <f t="shared" si="64"/>
        <v>8</v>
      </c>
      <c r="B146" s="105" t="s">
        <v>92</v>
      </c>
      <c r="C146" s="106" t="s">
        <v>93</v>
      </c>
      <c r="D146" s="105" t="s">
        <v>65</v>
      </c>
      <c r="E146" s="101">
        <v>15.25</v>
      </c>
      <c r="F146" s="101"/>
      <c r="G146" s="101"/>
      <c r="H146" s="101"/>
      <c r="I146" s="27">
        <f t="shared" si="65"/>
        <v>0</v>
      </c>
      <c r="J146" s="28">
        <f t="shared" si="66"/>
        <v>0</v>
      </c>
      <c r="K146" s="29">
        <f t="shared" si="67"/>
        <v>0</v>
      </c>
      <c r="L146" s="96"/>
    </row>
    <row r="147" s="86" customFormat="1" ht="48" outlineLevel="2" spans="1:16">
      <c r="A147" s="103">
        <f t="shared" si="64"/>
        <v>9</v>
      </c>
      <c r="B147" s="105" t="s">
        <v>94</v>
      </c>
      <c r="C147" s="106" t="s">
        <v>95</v>
      </c>
      <c r="D147" s="105" t="s">
        <v>65</v>
      </c>
      <c r="E147" s="101">
        <v>18.663</v>
      </c>
      <c r="F147" s="101"/>
      <c r="G147" s="101"/>
      <c r="H147" s="101"/>
      <c r="I147" s="27">
        <f t="shared" si="65"/>
        <v>0</v>
      </c>
      <c r="J147" s="28">
        <f t="shared" si="66"/>
        <v>0</v>
      </c>
      <c r="K147" s="29">
        <f t="shared" si="67"/>
        <v>0</v>
      </c>
      <c r="L147" s="96"/>
    </row>
    <row r="148" s="86" customFormat="1" ht="24" customHeight="1" outlineLevel="1" spans="1:16">
      <c r="A148" s="97"/>
      <c r="B148" s="98" t="s">
        <v>96</v>
      </c>
      <c r="C148" s="99"/>
      <c r="D148" s="100"/>
      <c r="E148" s="101"/>
      <c r="F148" s="101"/>
      <c r="G148" s="101"/>
      <c r="H148" s="101"/>
      <c r="I148" s="101"/>
      <c r="J148" s="101"/>
      <c r="K148" s="102"/>
      <c r="L148" s="96"/>
    </row>
    <row r="149" s="86" customFormat="1" ht="96" outlineLevel="2" spans="1:16">
      <c r="A149" s="103">
        <f t="shared" ref="A149:A153" si="68">1+N(A148)</f>
        <v>1</v>
      </c>
      <c r="B149" s="98" t="s">
        <v>455</v>
      </c>
      <c r="C149" s="108" t="s">
        <v>98</v>
      </c>
      <c r="D149" s="100" t="s">
        <v>58</v>
      </c>
      <c r="E149" s="101">
        <v>21.318</v>
      </c>
      <c r="F149" s="101"/>
      <c r="G149" s="101"/>
      <c r="H149" s="101"/>
      <c r="I149" s="27">
        <f t="shared" ref="I149:I153" si="69">(F149+G149+H149)*$I$3</f>
        <v>0</v>
      </c>
      <c r="J149" s="28">
        <f t="shared" ref="J149:J153" si="70">ROUND(SUM(F149:I149),2)</f>
        <v>0</v>
      </c>
      <c r="K149" s="29">
        <f t="shared" ref="K149:K153" si="71">ROUND(J149*E149,2)</f>
        <v>0</v>
      </c>
      <c r="L149" s="96"/>
    </row>
    <row r="150" s="86" customFormat="1" ht="72" customHeight="1" outlineLevel="2" spans="1:16">
      <c r="A150" s="103">
        <f t="shared" si="68"/>
        <v>2</v>
      </c>
      <c r="B150" s="98" t="s">
        <v>99</v>
      </c>
      <c r="C150" s="108" t="s">
        <v>100</v>
      </c>
      <c r="D150" s="100" t="s">
        <v>65</v>
      </c>
      <c r="E150" s="101">
        <v>13.342</v>
      </c>
      <c r="F150" s="101"/>
      <c r="G150" s="101"/>
      <c r="H150" s="101"/>
      <c r="I150" s="27">
        <f t="shared" si="69"/>
        <v>0</v>
      </c>
      <c r="J150" s="28">
        <f t="shared" si="70"/>
        <v>0</v>
      </c>
      <c r="K150" s="29">
        <f t="shared" si="71"/>
        <v>0</v>
      </c>
      <c r="L150" s="96"/>
    </row>
    <row r="151" s="86" customFormat="1" ht="72" customHeight="1" outlineLevel="2" spans="1:16">
      <c r="A151" s="103">
        <f t="shared" si="68"/>
        <v>3</v>
      </c>
      <c r="B151" s="98" t="s">
        <v>101</v>
      </c>
      <c r="C151" s="99" t="s">
        <v>102</v>
      </c>
      <c r="D151" s="100" t="s">
        <v>65</v>
      </c>
      <c r="E151" s="101">
        <v>13.342</v>
      </c>
      <c r="F151" s="101"/>
      <c r="G151" s="101"/>
      <c r="H151" s="101"/>
      <c r="I151" s="27">
        <f t="shared" si="69"/>
        <v>0</v>
      </c>
      <c r="J151" s="28">
        <f t="shared" si="70"/>
        <v>0</v>
      </c>
      <c r="K151" s="29">
        <f t="shared" si="71"/>
        <v>0</v>
      </c>
      <c r="L151" s="96"/>
    </row>
    <row r="152" s="86" customFormat="1" ht="72" customHeight="1" outlineLevel="2" spans="1:16">
      <c r="A152" s="103">
        <f t="shared" si="68"/>
        <v>4</v>
      </c>
      <c r="B152" s="98" t="s">
        <v>103</v>
      </c>
      <c r="C152" s="99" t="s">
        <v>104</v>
      </c>
      <c r="D152" s="100" t="s">
        <v>65</v>
      </c>
      <c r="E152" s="101">
        <f>3.8*2</f>
        <v>7.6</v>
      </c>
      <c r="F152" s="101"/>
      <c r="G152" s="101"/>
      <c r="H152" s="101"/>
      <c r="I152" s="27">
        <f t="shared" si="69"/>
        <v>0</v>
      </c>
      <c r="J152" s="28">
        <f t="shared" si="70"/>
        <v>0</v>
      </c>
      <c r="K152" s="29">
        <f t="shared" si="71"/>
        <v>0</v>
      </c>
      <c r="L152" s="96"/>
    </row>
    <row r="153" s="86" customFormat="1" ht="72" customHeight="1" outlineLevel="2" spans="1:16">
      <c r="A153" s="103">
        <f t="shared" si="68"/>
        <v>5</v>
      </c>
      <c r="B153" s="98" t="s">
        <v>105</v>
      </c>
      <c r="C153" s="99" t="s">
        <v>106</v>
      </c>
      <c r="D153" s="100" t="s">
        <v>58</v>
      </c>
      <c r="E153" s="101">
        <v>25.896</v>
      </c>
      <c r="F153" s="101"/>
      <c r="G153" s="101"/>
      <c r="H153" s="101"/>
      <c r="I153" s="27">
        <f t="shared" si="69"/>
        <v>0</v>
      </c>
      <c r="J153" s="28">
        <f t="shared" si="70"/>
        <v>0</v>
      </c>
      <c r="K153" s="29">
        <f t="shared" si="71"/>
        <v>0</v>
      </c>
      <c r="L153" s="96"/>
    </row>
    <row r="154" s="86" customFormat="1" ht="24" customHeight="1" outlineLevel="1" spans="1:16">
      <c r="A154" s="97"/>
      <c r="B154" s="98" t="s">
        <v>107</v>
      </c>
      <c r="C154" s="99"/>
      <c r="D154" s="100"/>
      <c r="E154" s="101"/>
      <c r="F154" s="101"/>
      <c r="G154" s="101"/>
      <c r="H154" s="101"/>
      <c r="I154" s="101"/>
      <c r="J154" s="101"/>
      <c r="K154" s="102"/>
      <c r="L154" s="96"/>
    </row>
    <row r="155" s="86" customFormat="1" ht="24" customHeight="1" outlineLevel="1" spans="1:16">
      <c r="A155" s="92" t="s">
        <v>122</v>
      </c>
      <c r="B155" s="93" t="s">
        <v>519</v>
      </c>
      <c r="C155" s="93"/>
      <c r="D155" s="94"/>
      <c r="E155" s="95"/>
      <c r="F155" s="95"/>
      <c r="G155" s="95"/>
      <c r="H155" s="95"/>
      <c r="I155" s="95"/>
      <c r="J155" s="95"/>
      <c r="K155" s="23"/>
      <c r="L155" s="96"/>
    </row>
    <row r="156" s="86" customFormat="1" ht="24" customHeight="1" outlineLevel="1" spans="1:16">
      <c r="A156" s="97"/>
      <c r="B156" s="98" t="s">
        <v>55</v>
      </c>
      <c r="C156" s="99"/>
      <c r="D156" s="100"/>
      <c r="E156" s="101"/>
      <c r="F156" s="101"/>
      <c r="G156" s="101"/>
      <c r="H156" s="101"/>
      <c r="I156" s="101"/>
      <c r="J156" s="101"/>
      <c r="K156" s="102"/>
      <c r="L156" s="96"/>
    </row>
    <row r="157" s="86" customFormat="1" ht="96" outlineLevel="2" spans="1:16">
      <c r="A157" s="103">
        <f t="shared" ref="A157:A160" si="72">1+N(A156)</f>
        <v>1</v>
      </c>
      <c r="B157" s="98" t="s">
        <v>56</v>
      </c>
      <c r="C157" s="99" t="s">
        <v>57</v>
      </c>
      <c r="D157" s="100" t="s">
        <v>58</v>
      </c>
      <c r="E157" s="101">
        <f>9.75+1.339+0.871</f>
        <v>11.96</v>
      </c>
      <c r="F157" s="101"/>
      <c r="G157" s="101"/>
      <c r="H157" s="27"/>
      <c r="I157" s="27">
        <f t="shared" ref="I157:I160" si="73">(F157+G157+H157)*$I$3</f>
        <v>0</v>
      </c>
      <c r="J157" s="28">
        <f t="shared" ref="J157:J160" si="74">ROUND(SUM(F157:I157),2)</f>
        <v>0</v>
      </c>
      <c r="K157" s="29">
        <f t="shared" ref="K157:K160" si="75">ROUND(J157*E157,2)</f>
        <v>0</v>
      </c>
      <c r="L157" s="96"/>
      <c r="P157" s="86">
        <v>2</v>
      </c>
    </row>
    <row r="158" s="86" customFormat="1" ht="108" outlineLevel="2" spans="1:16">
      <c r="A158" s="103">
        <f t="shared" si="72"/>
        <v>2</v>
      </c>
      <c r="B158" s="98" t="s">
        <v>59</v>
      </c>
      <c r="C158" s="99" t="s">
        <v>60</v>
      </c>
      <c r="D158" s="100" t="s">
        <v>58</v>
      </c>
      <c r="E158" s="101">
        <v>14.838</v>
      </c>
      <c r="F158" s="101"/>
      <c r="G158" s="101"/>
      <c r="H158" s="101"/>
      <c r="I158" s="27">
        <f t="shared" si="73"/>
        <v>0</v>
      </c>
      <c r="J158" s="28">
        <f t="shared" si="74"/>
        <v>0</v>
      </c>
      <c r="K158" s="29">
        <f t="shared" si="75"/>
        <v>0</v>
      </c>
      <c r="L158" s="96"/>
      <c r="P158" s="86">
        <v>2</v>
      </c>
    </row>
    <row r="159" s="86" customFormat="1" ht="36" outlineLevel="2" spans="1:16">
      <c r="A159" s="103">
        <f t="shared" si="72"/>
        <v>3</v>
      </c>
      <c r="B159" s="98" t="s">
        <v>63</v>
      </c>
      <c r="C159" s="99" t="s">
        <v>64</v>
      </c>
      <c r="D159" s="100" t="s">
        <v>65</v>
      </c>
      <c r="E159" s="101">
        <v>15.966</v>
      </c>
      <c r="F159" s="101"/>
      <c r="G159" s="101"/>
      <c r="H159" s="101"/>
      <c r="I159" s="27">
        <f t="shared" si="73"/>
        <v>0</v>
      </c>
      <c r="J159" s="28">
        <f t="shared" si="74"/>
        <v>0</v>
      </c>
      <c r="K159" s="29">
        <f t="shared" si="75"/>
        <v>0</v>
      </c>
      <c r="L159" s="96"/>
    </row>
    <row r="160" s="86" customFormat="1" ht="48" outlineLevel="2" spans="1:16">
      <c r="A160" s="103">
        <f t="shared" si="72"/>
        <v>4</v>
      </c>
      <c r="B160" s="98" t="s">
        <v>66</v>
      </c>
      <c r="C160" s="99" t="s">
        <v>67</v>
      </c>
      <c r="D160" s="100" t="s">
        <v>58</v>
      </c>
      <c r="E160" s="101">
        <f>+E157+E158</f>
        <v>26.798</v>
      </c>
      <c r="F160" s="101"/>
      <c r="G160" s="101"/>
      <c r="H160" s="101"/>
      <c r="I160" s="27">
        <f t="shared" si="73"/>
        <v>0</v>
      </c>
      <c r="J160" s="28">
        <f t="shared" si="74"/>
        <v>0</v>
      </c>
      <c r="K160" s="29">
        <f t="shared" si="75"/>
        <v>0</v>
      </c>
      <c r="L160" s="96"/>
    </row>
    <row r="161" s="86" customFormat="1" ht="24" customHeight="1" outlineLevel="1" spans="1:12">
      <c r="A161" s="97"/>
      <c r="B161" s="98" t="s">
        <v>489</v>
      </c>
      <c r="C161" s="99"/>
      <c r="D161" s="100"/>
      <c r="E161" s="101"/>
      <c r="F161" s="101"/>
      <c r="G161" s="101"/>
      <c r="H161" s="101"/>
      <c r="I161" s="101"/>
      <c r="J161" s="101"/>
      <c r="K161" s="102"/>
      <c r="L161" s="96"/>
    </row>
    <row r="162" s="86" customFormat="1" ht="72" outlineLevel="2" spans="1:12">
      <c r="A162" s="103">
        <f t="shared" ref="A162:A173" si="76">1+N(A161)</f>
        <v>1</v>
      </c>
      <c r="B162" s="104" t="s">
        <v>69</v>
      </c>
      <c r="C162" s="99" t="s">
        <v>70</v>
      </c>
      <c r="D162" s="100" t="s">
        <v>58</v>
      </c>
      <c r="E162" s="101">
        <v>5.313</v>
      </c>
      <c r="F162" s="101"/>
      <c r="G162" s="101"/>
      <c r="H162" s="101"/>
      <c r="I162" s="27">
        <f t="shared" ref="I162:I173" si="77">(F162+G162+H162)*$I$3</f>
        <v>0</v>
      </c>
      <c r="J162" s="28">
        <f t="shared" ref="J162:J173" si="78">ROUND(SUM(F162:I162),2)</f>
        <v>0</v>
      </c>
      <c r="K162" s="29">
        <f t="shared" ref="K162:K173" si="79">ROUND(J162*E162,2)</f>
        <v>0</v>
      </c>
      <c r="L162" s="96"/>
    </row>
    <row r="163" s="86" customFormat="1" ht="96" outlineLevel="2" spans="1:12">
      <c r="A163" s="103">
        <f t="shared" si="76"/>
        <v>2</v>
      </c>
      <c r="B163" s="105" t="s">
        <v>71</v>
      </c>
      <c r="C163" s="106" t="s">
        <v>72</v>
      </c>
      <c r="D163" s="100" t="s">
        <v>58</v>
      </c>
      <c r="E163" s="101">
        <v>22.277</v>
      </c>
      <c r="F163" s="101"/>
      <c r="G163" s="101"/>
      <c r="H163" s="101"/>
      <c r="I163" s="27">
        <f t="shared" si="77"/>
        <v>0</v>
      </c>
      <c r="J163" s="28">
        <f t="shared" si="78"/>
        <v>0</v>
      </c>
      <c r="K163" s="29">
        <f t="shared" si="79"/>
        <v>0</v>
      </c>
      <c r="L163" s="96"/>
    </row>
    <row r="164" s="86" customFormat="1" ht="60" customHeight="1" outlineLevel="2" spans="1:12">
      <c r="A164" s="103">
        <f t="shared" si="76"/>
        <v>3</v>
      </c>
      <c r="B164" s="98" t="s">
        <v>221</v>
      </c>
      <c r="C164" s="99" t="s">
        <v>220</v>
      </c>
      <c r="D164" s="100" t="s">
        <v>58</v>
      </c>
      <c r="E164" s="101">
        <v>4.93</v>
      </c>
      <c r="F164" s="101"/>
      <c r="G164" s="101"/>
      <c r="H164" s="101"/>
      <c r="I164" s="27">
        <f t="shared" si="77"/>
        <v>0</v>
      </c>
      <c r="J164" s="28">
        <f t="shared" si="78"/>
        <v>0</v>
      </c>
      <c r="K164" s="29">
        <f t="shared" si="79"/>
        <v>0</v>
      </c>
      <c r="L164" s="96"/>
    </row>
    <row r="165" s="86" customFormat="1" ht="72" outlineLevel="2" spans="1:12">
      <c r="A165" s="103">
        <f t="shared" si="76"/>
        <v>4</v>
      </c>
      <c r="B165" s="107" t="s">
        <v>223</v>
      </c>
      <c r="C165" s="99" t="s">
        <v>224</v>
      </c>
      <c r="D165" s="100" t="s">
        <v>58</v>
      </c>
      <c r="E165" s="101">
        <v>29.297</v>
      </c>
      <c r="F165" s="101"/>
      <c r="G165" s="101"/>
      <c r="H165" s="101"/>
      <c r="I165" s="27">
        <f t="shared" si="77"/>
        <v>0</v>
      </c>
      <c r="J165" s="28">
        <f t="shared" si="78"/>
        <v>0</v>
      </c>
      <c r="K165" s="29">
        <f t="shared" si="79"/>
        <v>0</v>
      </c>
      <c r="L165" s="96"/>
    </row>
    <row r="166" s="86" customFormat="1" ht="48" outlineLevel="2" spans="1:12">
      <c r="A166" s="103">
        <f t="shared" si="76"/>
        <v>5</v>
      </c>
      <c r="B166" s="105" t="s">
        <v>77</v>
      </c>
      <c r="C166" s="106" t="s">
        <v>78</v>
      </c>
      <c r="D166" s="105" t="s">
        <v>58</v>
      </c>
      <c r="E166" s="101">
        <f>0.31*2.2*2+0.25*1.2</f>
        <v>1.664</v>
      </c>
      <c r="F166" s="101"/>
      <c r="G166" s="101"/>
      <c r="H166" s="101"/>
      <c r="I166" s="27">
        <f t="shared" si="77"/>
        <v>0</v>
      </c>
      <c r="J166" s="28">
        <f t="shared" si="78"/>
        <v>0</v>
      </c>
      <c r="K166" s="29">
        <f t="shared" si="79"/>
        <v>0</v>
      </c>
      <c r="L166" s="96"/>
    </row>
    <row r="167" s="86" customFormat="1" ht="48" outlineLevel="2" spans="1:12">
      <c r="A167" s="103">
        <f t="shared" si="76"/>
        <v>6</v>
      </c>
      <c r="B167" s="105" t="s">
        <v>79</v>
      </c>
      <c r="C167" s="106" t="s">
        <v>78</v>
      </c>
      <c r="D167" s="105" t="s">
        <v>58</v>
      </c>
      <c r="E167" s="101">
        <f>0.34*2.5*2*2</f>
        <v>3.4</v>
      </c>
      <c r="F167" s="101"/>
      <c r="G167" s="101"/>
      <c r="H167" s="101"/>
      <c r="I167" s="27">
        <f t="shared" si="77"/>
        <v>0</v>
      </c>
      <c r="J167" s="28">
        <f t="shared" si="78"/>
        <v>0</v>
      </c>
      <c r="K167" s="29">
        <f t="shared" si="79"/>
        <v>0</v>
      </c>
      <c r="L167" s="96"/>
    </row>
    <row r="168" s="86" customFormat="1" ht="60" outlineLevel="2" spans="1:12">
      <c r="A168" s="103">
        <f t="shared" si="76"/>
        <v>7</v>
      </c>
      <c r="B168" s="105" t="s">
        <v>80</v>
      </c>
      <c r="C168" s="106" t="s">
        <v>81</v>
      </c>
      <c r="D168" s="105" t="s">
        <v>58</v>
      </c>
      <c r="E168" s="101">
        <f>+(0.061+0.22+0.114+0.074)*0.95*2</f>
        <v>0.8911</v>
      </c>
      <c r="F168" s="101"/>
      <c r="G168" s="101"/>
      <c r="H168" s="101"/>
      <c r="I168" s="27">
        <f t="shared" si="77"/>
        <v>0</v>
      </c>
      <c r="J168" s="28">
        <f t="shared" si="78"/>
        <v>0</v>
      </c>
      <c r="K168" s="29">
        <f t="shared" si="79"/>
        <v>0</v>
      </c>
      <c r="L168" s="96"/>
    </row>
    <row r="169" s="86" customFormat="1" ht="48" outlineLevel="2" spans="1:12">
      <c r="A169" s="103">
        <f t="shared" si="76"/>
        <v>8</v>
      </c>
      <c r="B169" s="105" t="s">
        <v>82</v>
      </c>
      <c r="C169" s="106" t="s">
        <v>83</v>
      </c>
      <c r="D169" s="105" t="s">
        <v>58</v>
      </c>
      <c r="E169" s="101">
        <v>0.253</v>
      </c>
      <c r="F169" s="101"/>
      <c r="G169" s="101"/>
      <c r="H169" s="101"/>
      <c r="I169" s="27">
        <f t="shared" si="77"/>
        <v>0</v>
      </c>
      <c r="J169" s="28">
        <f t="shared" si="78"/>
        <v>0</v>
      </c>
      <c r="K169" s="29">
        <f t="shared" si="79"/>
        <v>0</v>
      </c>
      <c r="L169" s="96"/>
    </row>
    <row r="170" s="86" customFormat="1" ht="48" outlineLevel="2" spans="1:12">
      <c r="A170" s="103">
        <f t="shared" si="76"/>
        <v>9</v>
      </c>
      <c r="B170" s="105" t="s">
        <v>86</v>
      </c>
      <c r="C170" s="106" t="s">
        <v>87</v>
      </c>
      <c r="D170" s="105" t="s">
        <v>65</v>
      </c>
      <c r="E170" s="101">
        <v>25.936</v>
      </c>
      <c r="F170" s="101"/>
      <c r="G170" s="101"/>
      <c r="H170" s="101"/>
      <c r="I170" s="27">
        <f t="shared" si="77"/>
        <v>0</v>
      </c>
      <c r="J170" s="28">
        <f t="shared" si="78"/>
        <v>0</v>
      </c>
      <c r="K170" s="29">
        <f t="shared" si="79"/>
        <v>0</v>
      </c>
      <c r="L170" s="96"/>
    </row>
    <row r="171" s="86" customFormat="1" ht="36" outlineLevel="2" spans="1:12">
      <c r="A171" s="103">
        <f t="shared" si="76"/>
        <v>10</v>
      </c>
      <c r="B171" s="105" t="s">
        <v>514</v>
      </c>
      <c r="C171" s="106" t="s">
        <v>515</v>
      </c>
      <c r="D171" s="105" t="s">
        <v>65</v>
      </c>
      <c r="E171" s="101">
        <v>12.779</v>
      </c>
      <c r="F171" s="101"/>
      <c r="G171" s="101"/>
      <c r="H171" s="101"/>
      <c r="I171" s="27">
        <f t="shared" si="77"/>
        <v>0</v>
      </c>
      <c r="J171" s="28">
        <f t="shared" si="78"/>
        <v>0</v>
      </c>
      <c r="K171" s="29">
        <f t="shared" si="79"/>
        <v>0</v>
      </c>
      <c r="L171" s="96"/>
    </row>
    <row r="172" s="86" customFormat="1" ht="48" outlineLevel="2" spans="1:12">
      <c r="A172" s="103">
        <f t="shared" si="76"/>
        <v>11</v>
      </c>
      <c r="B172" s="105" t="s">
        <v>92</v>
      </c>
      <c r="C172" s="106" t="s">
        <v>93</v>
      </c>
      <c r="D172" s="105" t="s">
        <v>65</v>
      </c>
      <c r="E172" s="101">
        <v>9.405</v>
      </c>
      <c r="F172" s="101"/>
      <c r="G172" s="101"/>
      <c r="H172" s="101"/>
      <c r="I172" s="27">
        <f t="shared" si="77"/>
        <v>0</v>
      </c>
      <c r="J172" s="28">
        <f t="shared" si="78"/>
        <v>0</v>
      </c>
      <c r="K172" s="29">
        <f t="shared" si="79"/>
        <v>0</v>
      </c>
      <c r="L172" s="96"/>
    </row>
    <row r="173" s="86" customFormat="1" ht="48" outlineLevel="2" spans="1:12">
      <c r="A173" s="103">
        <f t="shared" si="76"/>
        <v>12</v>
      </c>
      <c r="B173" s="105" t="s">
        <v>94</v>
      </c>
      <c r="C173" s="106" t="s">
        <v>95</v>
      </c>
      <c r="D173" s="105" t="s">
        <v>65</v>
      </c>
      <c r="E173" s="101">
        <v>26.877</v>
      </c>
      <c r="F173" s="101"/>
      <c r="G173" s="101"/>
      <c r="H173" s="101"/>
      <c r="I173" s="27">
        <f t="shared" si="77"/>
        <v>0</v>
      </c>
      <c r="J173" s="28">
        <f t="shared" si="78"/>
        <v>0</v>
      </c>
      <c r="K173" s="29">
        <f t="shared" si="79"/>
        <v>0</v>
      </c>
      <c r="L173" s="96"/>
    </row>
    <row r="174" s="86" customFormat="1" ht="24" customHeight="1" outlineLevel="1" spans="1:12">
      <c r="A174" s="97"/>
      <c r="B174" s="98" t="s">
        <v>96</v>
      </c>
      <c r="C174" s="99"/>
      <c r="D174" s="100"/>
      <c r="E174" s="101"/>
      <c r="F174" s="101"/>
      <c r="G174" s="101"/>
      <c r="H174" s="101"/>
      <c r="I174" s="101"/>
      <c r="J174" s="101"/>
      <c r="K174" s="102"/>
      <c r="L174" s="96"/>
    </row>
    <row r="175" s="86" customFormat="1" ht="96" outlineLevel="2" spans="1:12">
      <c r="A175" s="103">
        <f t="shared" ref="A175:A179" si="80">1+N(A174)</f>
        <v>1</v>
      </c>
      <c r="B175" s="98" t="s">
        <v>455</v>
      </c>
      <c r="C175" s="108" t="s">
        <v>98</v>
      </c>
      <c r="D175" s="100" t="s">
        <v>58</v>
      </c>
      <c r="E175" s="101">
        <v>27.288</v>
      </c>
      <c r="F175" s="101"/>
      <c r="G175" s="101"/>
      <c r="H175" s="101"/>
      <c r="I175" s="27">
        <f t="shared" ref="I175:I179" si="81">(F175+G175+H175)*$I$3</f>
        <v>0</v>
      </c>
      <c r="J175" s="28">
        <f t="shared" ref="J175:J179" si="82">ROUND(SUM(F175:I175),2)</f>
        <v>0</v>
      </c>
      <c r="K175" s="29">
        <f t="shared" ref="K175:K179" si="83">ROUND(J175*E175,2)</f>
        <v>0</v>
      </c>
      <c r="L175" s="96"/>
    </row>
    <row r="176" s="86" customFormat="1" ht="72" customHeight="1" outlineLevel="2" spans="1:12">
      <c r="A176" s="103">
        <f t="shared" si="80"/>
        <v>2</v>
      </c>
      <c r="B176" s="98" t="s">
        <v>99</v>
      </c>
      <c r="C176" s="108" t="s">
        <v>100</v>
      </c>
      <c r="D176" s="100" t="s">
        <v>65</v>
      </c>
      <c r="E176" s="101">
        <v>15.982</v>
      </c>
      <c r="F176" s="101"/>
      <c r="G176" s="101"/>
      <c r="H176" s="101"/>
      <c r="I176" s="27">
        <f t="shared" si="81"/>
        <v>0</v>
      </c>
      <c r="J176" s="28">
        <f t="shared" si="82"/>
        <v>0</v>
      </c>
      <c r="K176" s="29">
        <f t="shared" si="83"/>
        <v>0</v>
      </c>
      <c r="L176" s="96"/>
    </row>
    <row r="177" s="86" customFormat="1" ht="72" customHeight="1" outlineLevel="2" spans="1:16">
      <c r="A177" s="103">
        <f t="shared" si="80"/>
        <v>3</v>
      </c>
      <c r="B177" s="98" t="s">
        <v>101</v>
      </c>
      <c r="C177" s="99" t="s">
        <v>102</v>
      </c>
      <c r="D177" s="100" t="s">
        <v>65</v>
      </c>
      <c r="E177" s="101">
        <v>15.982</v>
      </c>
      <c r="F177" s="101"/>
      <c r="G177" s="101"/>
      <c r="H177" s="101"/>
      <c r="I177" s="27">
        <f t="shared" si="81"/>
        <v>0</v>
      </c>
      <c r="J177" s="28">
        <f t="shared" si="82"/>
        <v>0</v>
      </c>
      <c r="K177" s="29">
        <f t="shared" si="83"/>
        <v>0</v>
      </c>
      <c r="L177" s="96"/>
    </row>
    <row r="178" s="86" customFormat="1" ht="72" customHeight="1" outlineLevel="2" spans="1:16">
      <c r="A178" s="103">
        <f t="shared" si="80"/>
        <v>4</v>
      </c>
      <c r="B178" s="98" t="s">
        <v>103</v>
      </c>
      <c r="C178" s="99" t="s">
        <v>104</v>
      </c>
      <c r="D178" s="100" t="s">
        <v>65</v>
      </c>
      <c r="E178" s="101">
        <f>5.12*2</f>
        <v>10.24</v>
      </c>
      <c r="F178" s="101"/>
      <c r="G178" s="101"/>
      <c r="H178" s="101"/>
      <c r="I178" s="27">
        <f t="shared" si="81"/>
        <v>0</v>
      </c>
      <c r="J178" s="28">
        <f t="shared" si="82"/>
        <v>0</v>
      </c>
      <c r="K178" s="29">
        <f t="shared" si="83"/>
        <v>0</v>
      </c>
      <c r="L178" s="96"/>
    </row>
    <row r="179" s="86" customFormat="1" ht="72" customHeight="1" outlineLevel="2" spans="1:16">
      <c r="A179" s="103">
        <f t="shared" si="80"/>
        <v>5</v>
      </c>
      <c r="B179" s="98" t="s">
        <v>105</v>
      </c>
      <c r="C179" s="99" t="s">
        <v>106</v>
      </c>
      <c r="D179" s="100" t="s">
        <v>58</v>
      </c>
      <c r="E179" s="101">
        <v>32.785</v>
      </c>
      <c r="F179" s="101"/>
      <c r="G179" s="101"/>
      <c r="H179" s="101"/>
      <c r="I179" s="27">
        <f t="shared" si="81"/>
        <v>0</v>
      </c>
      <c r="J179" s="28">
        <f t="shared" si="82"/>
        <v>0</v>
      </c>
      <c r="K179" s="29">
        <f t="shared" si="83"/>
        <v>0</v>
      </c>
      <c r="L179" s="96"/>
    </row>
    <row r="180" s="86" customFormat="1" ht="24" customHeight="1" outlineLevel="1" spans="1:16">
      <c r="A180" s="97"/>
      <c r="B180" s="98" t="s">
        <v>107</v>
      </c>
      <c r="C180" s="99"/>
      <c r="D180" s="100"/>
      <c r="E180" s="101"/>
      <c r="F180" s="101"/>
      <c r="G180" s="101"/>
      <c r="H180" s="101"/>
      <c r="I180" s="101"/>
      <c r="J180" s="101"/>
      <c r="K180" s="102"/>
      <c r="L180" s="96"/>
    </row>
    <row r="181" s="86" customFormat="1" ht="24" customHeight="1" outlineLevel="1" spans="1:16">
      <c r="A181" s="92" t="s">
        <v>134</v>
      </c>
      <c r="B181" s="93" t="s">
        <v>520</v>
      </c>
      <c r="C181" s="93"/>
      <c r="D181" s="94"/>
      <c r="E181" s="95"/>
      <c r="F181" s="95"/>
      <c r="G181" s="95"/>
      <c r="H181" s="95"/>
      <c r="I181" s="95"/>
      <c r="J181" s="95"/>
      <c r="K181" s="23"/>
      <c r="L181" s="96"/>
    </row>
    <row r="182" s="86" customFormat="1" ht="24" customHeight="1" outlineLevel="1" spans="1:16">
      <c r="A182" s="97"/>
      <c r="B182" s="98" t="s">
        <v>55</v>
      </c>
      <c r="C182" s="99"/>
      <c r="D182" s="100"/>
      <c r="E182" s="101"/>
      <c r="F182" s="101"/>
      <c r="G182" s="101"/>
      <c r="H182" s="101"/>
      <c r="I182" s="101"/>
      <c r="J182" s="101"/>
      <c r="K182" s="102"/>
      <c r="L182" s="96"/>
    </row>
    <row r="183" s="86" customFormat="1" ht="96" outlineLevel="2" spans="1:16">
      <c r="A183" s="103">
        <f t="shared" ref="A183:A186" si="84">1+N(A182)</f>
        <v>1</v>
      </c>
      <c r="B183" s="98" t="s">
        <v>56</v>
      </c>
      <c r="C183" s="99" t="s">
        <v>57</v>
      </c>
      <c r="D183" s="100" t="s">
        <v>58</v>
      </c>
      <c r="E183" s="101">
        <v>3.947</v>
      </c>
      <c r="F183" s="101"/>
      <c r="G183" s="101"/>
      <c r="H183" s="27"/>
      <c r="I183" s="27">
        <f t="shared" ref="I183:I186" si="85">(F183+G183+H183)*$I$3</f>
        <v>0</v>
      </c>
      <c r="J183" s="28">
        <f t="shared" ref="J183:J186" si="86">ROUND(SUM(F183:I183),2)</f>
        <v>0</v>
      </c>
      <c r="K183" s="29">
        <f t="shared" ref="K183:K186" si="87">ROUND(J183*E183,2)</f>
        <v>0</v>
      </c>
      <c r="L183" s="96"/>
      <c r="P183" s="86">
        <v>2</v>
      </c>
    </row>
    <row r="184" s="86" customFormat="1" ht="108" outlineLevel="2" spans="1:16">
      <c r="A184" s="103">
        <f t="shared" si="84"/>
        <v>2</v>
      </c>
      <c r="B184" s="98" t="s">
        <v>59</v>
      </c>
      <c r="C184" s="99" t="s">
        <v>60</v>
      </c>
      <c r="D184" s="100" t="s">
        <v>58</v>
      </c>
      <c r="E184" s="101">
        <v>13.025</v>
      </c>
      <c r="F184" s="101"/>
      <c r="G184" s="101"/>
      <c r="H184" s="101"/>
      <c r="I184" s="27">
        <f t="shared" si="85"/>
        <v>0</v>
      </c>
      <c r="J184" s="28">
        <f t="shared" si="86"/>
        <v>0</v>
      </c>
      <c r="K184" s="29">
        <f t="shared" si="87"/>
        <v>0</v>
      </c>
      <c r="L184" s="96"/>
      <c r="P184" s="86">
        <v>2</v>
      </c>
    </row>
    <row r="185" s="86" customFormat="1" ht="36" outlineLevel="2" spans="1:16">
      <c r="A185" s="103">
        <f t="shared" si="84"/>
        <v>3</v>
      </c>
      <c r="B185" s="98" t="s">
        <v>63</v>
      </c>
      <c r="C185" s="99" t="s">
        <v>64</v>
      </c>
      <c r="D185" s="100" t="s">
        <v>65</v>
      </c>
      <c r="E185" s="101">
        <v>14.566</v>
      </c>
      <c r="F185" s="101"/>
      <c r="G185" s="101"/>
      <c r="H185" s="101"/>
      <c r="I185" s="27">
        <f t="shared" si="85"/>
        <v>0</v>
      </c>
      <c r="J185" s="28">
        <f t="shared" si="86"/>
        <v>0</v>
      </c>
      <c r="K185" s="29">
        <f t="shared" si="87"/>
        <v>0</v>
      </c>
      <c r="L185" s="96"/>
    </row>
    <row r="186" s="86" customFormat="1" ht="48" outlineLevel="2" spans="1:16">
      <c r="A186" s="103">
        <f t="shared" si="84"/>
        <v>4</v>
      </c>
      <c r="B186" s="98" t="s">
        <v>66</v>
      </c>
      <c r="C186" s="99" t="s">
        <v>67</v>
      </c>
      <c r="D186" s="100" t="s">
        <v>58</v>
      </c>
      <c r="E186" s="101">
        <f>+E183+E184</f>
        <v>16.972</v>
      </c>
      <c r="F186" s="101"/>
      <c r="G186" s="101"/>
      <c r="H186" s="101"/>
      <c r="I186" s="27">
        <f t="shared" si="85"/>
        <v>0</v>
      </c>
      <c r="J186" s="28">
        <f t="shared" si="86"/>
        <v>0</v>
      </c>
      <c r="K186" s="29">
        <f t="shared" si="87"/>
        <v>0</v>
      </c>
      <c r="L186" s="96"/>
    </row>
    <row r="187" s="86" customFormat="1" ht="24" customHeight="1" outlineLevel="1" spans="1:16">
      <c r="A187" s="97"/>
      <c r="B187" s="98" t="s">
        <v>489</v>
      </c>
      <c r="C187" s="99"/>
      <c r="D187" s="100"/>
      <c r="E187" s="101"/>
      <c r="F187" s="101"/>
      <c r="G187" s="101"/>
      <c r="H187" s="101"/>
      <c r="I187" s="101"/>
      <c r="J187" s="101"/>
      <c r="K187" s="102"/>
      <c r="L187" s="96"/>
    </row>
    <row r="188" s="86" customFormat="1" ht="72" outlineLevel="2" spans="1:16">
      <c r="A188" s="103">
        <f t="shared" ref="A188:A196" si="88">1+N(A187)</f>
        <v>1</v>
      </c>
      <c r="B188" s="104" t="s">
        <v>69</v>
      </c>
      <c r="C188" s="99" t="s">
        <v>70</v>
      </c>
      <c r="D188" s="100" t="s">
        <v>58</v>
      </c>
      <c r="E188" s="101">
        <v>5.319</v>
      </c>
      <c r="F188" s="101"/>
      <c r="G188" s="101"/>
      <c r="H188" s="101"/>
      <c r="I188" s="27">
        <f t="shared" ref="I188:I196" si="89">(F188+G188+H188)*$I$3</f>
        <v>0</v>
      </c>
      <c r="J188" s="28">
        <f t="shared" ref="J188:J196" si="90">ROUND(SUM(F188:I188),2)</f>
        <v>0</v>
      </c>
      <c r="K188" s="29">
        <f t="shared" ref="K188:K196" si="91">ROUND(J188*E188,2)</f>
        <v>0</v>
      </c>
      <c r="L188" s="96"/>
    </row>
    <row r="189" s="86" customFormat="1" ht="96" outlineLevel="2" spans="1:16">
      <c r="A189" s="103">
        <f t="shared" si="88"/>
        <v>2</v>
      </c>
      <c r="B189" s="105" t="s">
        <v>71</v>
      </c>
      <c r="C189" s="106" t="s">
        <v>72</v>
      </c>
      <c r="D189" s="100" t="s">
        <v>58</v>
      </c>
      <c r="E189" s="101">
        <v>22.236</v>
      </c>
      <c r="F189" s="101"/>
      <c r="G189" s="101"/>
      <c r="H189" s="101"/>
      <c r="I189" s="27">
        <f t="shared" si="89"/>
        <v>0</v>
      </c>
      <c r="J189" s="28">
        <f t="shared" si="90"/>
        <v>0</v>
      </c>
      <c r="K189" s="29">
        <f t="shared" si="91"/>
        <v>0</v>
      </c>
      <c r="L189" s="96"/>
    </row>
    <row r="190" s="86" customFormat="1" ht="60" customHeight="1" outlineLevel="2" spans="1:16">
      <c r="A190" s="103">
        <f t="shared" si="88"/>
        <v>3</v>
      </c>
      <c r="B190" s="98" t="s">
        <v>221</v>
      </c>
      <c r="C190" s="99" t="s">
        <v>220</v>
      </c>
      <c r="D190" s="100" t="s">
        <v>58</v>
      </c>
      <c r="E190" s="101">
        <v>1.901</v>
      </c>
      <c r="F190" s="101"/>
      <c r="G190" s="101"/>
      <c r="H190" s="101"/>
      <c r="I190" s="27">
        <f t="shared" si="89"/>
        <v>0</v>
      </c>
      <c r="J190" s="28">
        <f t="shared" si="90"/>
        <v>0</v>
      </c>
      <c r="K190" s="29">
        <f t="shared" si="91"/>
        <v>0</v>
      </c>
      <c r="L190" s="96"/>
    </row>
    <row r="191" s="86" customFormat="1" ht="48" outlineLevel="2" spans="1:16">
      <c r="A191" s="103">
        <f t="shared" si="88"/>
        <v>4</v>
      </c>
      <c r="B191" s="105" t="s">
        <v>79</v>
      </c>
      <c r="C191" s="106" t="s">
        <v>78</v>
      </c>
      <c r="D191" s="105" t="s">
        <v>58</v>
      </c>
      <c r="E191" s="101">
        <f>0.34*2.5*2*2</f>
        <v>3.4</v>
      </c>
      <c r="F191" s="101"/>
      <c r="G191" s="101"/>
      <c r="H191" s="101"/>
      <c r="I191" s="27">
        <f t="shared" si="89"/>
        <v>0</v>
      </c>
      <c r="J191" s="28">
        <f t="shared" si="90"/>
        <v>0</v>
      </c>
      <c r="K191" s="29">
        <f t="shared" si="91"/>
        <v>0</v>
      </c>
      <c r="L191" s="96"/>
    </row>
    <row r="192" s="86" customFormat="1" ht="60" outlineLevel="2" spans="1:16">
      <c r="A192" s="103">
        <f t="shared" si="88"/>
        <v>5</v>
      </c>
      <c r="B192" s="105" t="s">
        <v>80</v>
      </c>
      <c r="C192" s="106" t="s">
        <v>81</v>
      </c>
      <c r="D192" s="105" t="s">
        <v>58</v>
      </c>
      <c r="E192" s="101">
        <f>+(0.061+0.22+0.114+0.074)*0.95*2</f>
        <v>0.8911</v>
      </c>
      <c r="F192" s="101"/>
      <c r="G192" s="101"/>
      <c r="H192" s="101"/>
      <c r="I192" s="27">
        <f t="shared" si="89"/>
        <v>0</v>
      </c>
      <c r="J192" s="28">
        <f t="shared" si="90"/>
        <v>0</v>
      </c>
      <c r="K192" s="29">
        <f t="shared" si="91"/>
        <v>0</v>
      </c>
      <c r="L192" s="96"/>
    </row>
    <row r="193" s="86" customFormat="1" ht="48" outlineLevel="2" spans="1:16">
      <c r="A193" s="103">
        <f t="shared" si="88"/>
        <v>6</v>
      </c>
      <c r="B193" s="105" t="s">
        <v>82</v>
      </c>
      <c r="C193" s="106" t="s">
        <v>83</v>
      </c>
      <c r="D193" s="105" t="s">
        <v>58</v>
      </c>
      <c r="E193" s="101">
        <v>0.253</v>
      </c>
      <c r="F193" s="101"/>
      <c r="G193" s="101"/>
      <c r="H193" s="101"/>
      <c r="I193" s="27">
        <f t="shared" si="89"/>
        <v>0</v>
      </c>
      <c r="J193" s="28">
        <f t="shared" si="90"/>
        <v>0</v>
      </c>
      <c r="K193" s="29">
        <f t="shared" si="91"/>
        <v>0</v>
      </c>
      <c r="L193" s="96"/>
    </row>
    <row r="194" s="86" customFormat="1" ht="48" outlineLevel="2" spans="1:16">
      <c r="A194" s="103">
        <f t="shared" si="88"/>
        <v>7</v>
      </c>
      <c r="B194" s="105" t="s">
        <v>86</v>
      </c>
      <c r="C194" s="106" t="s">
        <v>87</v>
      </c>
      <c r="D194" s="105" t="s">
        <v>65</v>
      </c>
      <c r="E194" s="101">
        <v>11.965</v>
      </c>
      <c r="F194" s="101"/>
      <c r="G194" s="101"/>
      <c r="H194" s="101"/>
      <c r="I194" s="27">
        <f t="shared" si="89"/>
        <v>0</v>
      </c>
      <c r="J194" s="28">
        <f t="shared" si="90"/>
        <v>0</v>
      </c>
      <c r="K194" s="29">
        <f t="shared" si="91"/>
        <v>0</v>
      </c>
      <c r="L194" s="96"/>
    </row>
    <row r="195" s="86" customFormat="1" ht="48" outlineLevel="2" spans="1:16">
      <c r="A195" s="103">
        <f t="shared" si="88"/>
        <v>8</v>
      </c>
      <c r="B195" s="105" t="s">
        <v>92</v>
      </c>
      <c r="C195" s="106" t="s">
        <v>93</v>
      </c>
      <c r="D195" s="105" t="s">
        <v>65</v>
      </c>
      <c r="E195" s="101">
        <v>9.414</v>
      </c>
      <c r="F195" s="101"/>
      <c r="G195" s="101"/>
      <c r="H195" s="101"/>
      <c r="I195" s="27">
        <f t="shared" si="89"/>
        <v>0</v>
      </c>
      <c r="J195" s="28">
        <f t="shared" si="90"/>
        <v>0</v>
      </c>
      <c r="K195" s="29">
        <f t="shared" si="91"/>
        <v>0</v>
      </c>
      <c r="L195" s="96"/>
    </row>
    <row r="196" s="86" customFormat="1" ht="48" outlineLevel="2" spans="1:16">
      <c r="A196" s="103">
        <f t="shared" si="88"/>
        <v>9</v>
      </c>
      <c r="B196" s="105" t="s">
        <v>94</v>
      </c>
      <c r="C196" s="106" t="s">
        <v>95</v>
      </c>
      <c r="D196" s="105" t="s">
        <v>65</v>
      </c>
      <c r="E196" s="101">
        <v>12.798</v>
      </c>
      <c r="F196" s="101"/>
      <c r="G196" s="101"/>
      <c r="H196" s="101"/>
      <c r="I196" s="27">
        <f t="shared" si="89"/>
        <v>0</v>
      </c>
      <c r="J196" s="28">
        <f t="shared" si="90"/>
        <v>0</v>
      </c>
      <c r="K196" s="29">
        <f t="shared" si="91"/>
        <v>0</v>
      </c>
      <c r="L196" s="96"/>
    </row>
    <row r="197" s="86" customFormat="1" ht="24" customHeight="1" outlineLevel="1" spans="1:16">
      <c r="A197" s="97"/>
      <c r="B197" s="98" t="s">
        <v>96</v>
      </c>
      <c r="C197" s="99"/>
      <c r="D197" s="100"/>
      <c r="E197" s="101"/>
      <c r="F197" s="101"/>
      <c r="G197" s="101"/>
      <c r="H197" s="101"/>
      <c r="I197" s="101"/>
      <c r="J197" s="101"/>
      <c r="K197" s="102"/>
      <c r="L197" s="96"/>
    </row>
    <row r="198" s="86" customFormat="1" ht="96" outlineLevel="2" spans="1:16">
      <c r="A198" s="103">
        <f t="shared" ref="A198:A202" si="92">1+N(A197)</f>
        <v>1</v>
      </c>
      <c r="B198" s="98" t="s">
        <v>455</v>
      </c>
      <c r="C198" s="108" t="s">
        <v>98</v>
      </c>
      <c r="D198" s="100" t="s">
        <v>58</v>
      </c>
      <c r="E198" s="101">
        <v>17.826</v>
      </c>
      <c r="F198" s="101"/>
      <c r="G198" s="101"/>
      <c r="H198" s="101"/>
      <c r="I198" s="27">
        <f t="shared" ref="I198:I202" si="93">(F198+G198+H198)*$I$3</f>
        <v>0</v>
      </c>
      <c r="J198" s="28">
        <f t="shared" ref="J198:J202" si="94">ROUND(SUM(F198:I198),2)</f>
        <v>0</v>
      </c>
      <c r="K198" s="29">
        <f t="shared" ref="K198:K202" si="95">ROUND(J198*E198,2)</f>
        <v>0</v>
      </c>
      <c r="L198" s="96"/>
    </row>
    <row r="199" s="86" customFormat="1" ht="72" customHeight="1" outlineLevel="2" spans="1:16">
      <c r="A199" s="103">
        <f t="shared" si="92"/>
        <v>2</v>
      </c>
      <c r="B199" s="98" t="s">
        <v>99</v>
      </c>
      <c r="C199" s="108" t="s">
        <v>100</v>
      </c>
      <c r="D199" s="100" t="s">
        <v>65</v>
      </c>
      <c r="E199" s="101">
        <v>14.582</v>
      </c>
      <c r="F199" s="101"/>
      <c r="G199" s="101"/>
      <c r="H199" s="101"/>
      <c r="I199" s="27">
        <f t="shared" si="93"/>
        <v>0</v>
      </c>
      <c r="J199" s="28">
        <f t="shared" si="94"/>
        <v>0</v>
      </c>
      <c r="K199" s="29">
        <f t="shared" si="95"/>
        <v>0</v>
      </c>
      <c r="L199" s="96"/>
    </row>
    <row r="200" s="86" customFormat="1" ht="72" customHeight="1" outlineLevel="2" spans="1:16">
      <c r="A200" s="103">
        <f t="shared" si="92"/>
        <v>3</v>
      </c>
      <c r="B200" s="98" t="s">
        <v>101</v>
      </c>
      <c r="C200" s="99" t="s">
        <v>102</v>
      </c>
      <c r="D200" s="100" t="s">
        <v>65</v>
      </c>
      <c r="E200" s="101">
        <v>14.582</v>
      </c>
      <c r="F200" s="101"/>
      <c r="G200" s="101"/>
      <c r="H200" s="101"/>
      <c r="I200" s="27">
        <f t="shared" si="93"/>
        <v>0</v>
      </c>
      <c r="J200" s="28">
        <f t="shared" si="94"/>
        <v>0</v>
      </c>
      <c r="K200" s="29">
        <f t="shared" si="95"/>
        <v>0</v>
      </c>
      <c r="L200" s="96"/>
    </row>
    <row r="201" s="86" customFormat="1" ht="72" customHeight="1" outlineLevel="2" spans="1:16">
      <c r="A201" s="103">
        <f t="shared" si="92"/>
        <v>4</v>
      </c>
      <c r="B201" s="98" t="s">
        <v>103</v>
      </c>
      <c r="C201" s="99" t="s">
        <v>104</v>
      </c>
      <c r="D201" s="100" t="s">
        <v>65</v>
      </c>
      <c r="E201" s="101">
        <f>4.42*2</f>
        <v>8.84</v>
      </c>
      <c r="F201" s="101"/>
      <c r="G201" s="101"/>
      <c r="H201" s="101"/>
      <c r="I201" s="27">
        <f t="shared" si="93"/>
        <v>0</v>
      </c>
      <c r="J201" s="28">
        <f t="shared" si="94"/>
        <v>0</v>
      </c>
      <c r="K201" s="29">
        <f t="shared" si="95"/>
        <v>0</v>
      </c>
      <c r="L201" s="96"/>
    </row>
    <row r="202" s="86" customFormat="1" ht="72" customHeight="1" outlineLevel="2" spans="1:16">
      <c r="A202" s="103">
        <f t="shared" si="92"/>
        <v>5</v>
      </c>
      <c r="B202" s="98" t="s">
        <v>105</v>
      </c>
      <c r="C202" s="99" t="s">
        <v>106</v>
      </c>
      <c r="D202" s="100" t="s">
        <v>58</v>
      </c>
      <c r="E202" s="101">
        <v>22.836</v>
      </c>
      <c r="F202" s="101"/>
      <c r="G202" s="101"/>
      <c r="H202" s="101"/>
      <c r="I202" s="27">
        <f t="shared" si="93"/>
        <v>0</v>
      </c>
      <c r="J202" s="28">
        <f t="shared" si="94"/>
        <v>0</v>
      </c>
      <c r="K202" s="29">
        <f t="shared" si="95"/>
        <v>0</v>
      </c>
      <c r="L202" s="96"/>
    </row>
    <row r="203" s="86" customFormat="1" ht="24" customHeight="1" outlineLevel="1" spans="1:16">
      <c r="A203" s="97"/>
      <c r="B203" s="98" t="s">
        <v>107</v>
      </c>
      <c r="C203" s="99"/>
      <c r="D203" s="100"/>
      <c r="E203" s="101"/>
      <c r="F203" s="101"/>
      <c r="G203" s="101"/>
      <c r="H203" s="101"/>
      <c r="I203" s="101"/>
      <c r="J203" s="101"/>
      <c r="K203" s="102"/>
      <c r="L203" s="96"/>
    </row>
    <row r="204" s="86" customFormat="1" ht="24" customHeight="1" spans="1:16">
      <c r="A204" s="92" t="s">
        <v>212</v>
      </c>
      <c r="B204" s="93" t="s">
        <v>522</v>
      </c>
      <c r="C204" s="93"/>
      <c r="D204" s="94"/>
      <c r="E204" s="95"/>
      <c r="F204" s="95"/>
      <c r="G204" s="95"/>
      <c r="H204" s="95"/>
      <c r="I204" s="95"/>
      <c r="J204" s="95"/>
      <c r="K204" s="23">
        <f>SUM(K205:K301)</f>
        <v>0</v>
      </c>
      <c r="L204" s="96"/>
    </row>
    <row r="205" s="86" customFormat="1" ht="24" customHeight="1" outlineLevel="1" spans="1:16">
      <c r="A205" s="92" t="s">
        <v>53</v>
      </c>
      <c r="B205" s="93" t="s">
        <v>513</v>
      </c>
      <c r="C205" s="93"/>
      <c r="D205" s="94"/>
      <c r="E205" s="95"/>
      <c r="F205" s="95"/>
      <c r="G205" s="95"/>
      <c r="H205" s="95"/>
      <c r="I205" s="95"/>
      <c r="J205" s="95"/>
      <c r="K205" s="23"/>
      <c r="L205" s="96"/>
    </row>
    <row r="206" s="86" customFormat="1" ht="24" customHeight="1" outlineLevel="1" spans="1:16">
      <c r="A206" s="97"/>
      <c r="B206" s="98" t="s">
        <v>55</v>
      </c>
      <c r="C206" s="99"/>
      <c r="D206" s="100"/>
      <c r="E206" s="101"/>
      <c r="F206" s="101"/>
      <c r="G206" s="101"/>
      <c r="H206" s="101"/>
      <c r="I206" s="101"/>
      <c r="J206" s="101"/>
      <c r="K206" s="102"/>
      <c r="L206" s="96"/>
    </row>
    <row r="207" s="86" customFormat="1" ht="96" outlineLevel="2" spans="1:16">
      <c r="A207" s="103">
        <f t="shared" ref="A207:A210" si="96">1+N(A206)</f>
        <v>1</v>
      </c>
      <c r="B207" s="98" t="s">
        <v>56</v>
      </c>
      <c r="C207" s="99" t="s">
        <v>57</v>
      </c>
      <c r="D207" s="100" t="s">
        <v>58</v>
      </c>
      <c r="E207" s="101">
        <v>7.546</v>
      </c>
      <c r="F207" s="101"/>
      <c r="G207" s="101"/>
      <c r="H207" s="27"/>
      <c r="I207" s="27">
        <f t="shared" ref="I207:I210" si="97">(F207+G207+H207)*$I$3</f>
        <v>0</v>
      </c>
      <c r="J207" s="28">
        <f t="shared" ref="J207:J210" si="98">ROUND(SUM(F207:I207),2)</f>
        <v>0</v>
      </c>
      <c r="K207" s="29">
        <f t="shared" ref="K207:K210" si="99">ROUND(J207*E207,2)</f>
        <v>0</v>
      </c>
      <c r="L207" s="96"/>
      <c r="P207" s="86">
        <v>3</v>
      </c>
    </row>
    <row r="208" s="86" customFormat="1" ht="108" outlineLevel="2" spans="1:16">
      <c r="A208" s="103">
        <f t="shared" si="96"/>
        <v>2</v>
      </c>
      <c r="B208" s="98" t="s">
        <v>59</v>
      </c>
      <c r="C208" s="99" t="s">
        <v>60</v>
      </c>
      <c r="D208" s="100" t="s">
        <v>58</v>
      </c>
      <c r="E208" s="101">
        <v>16.519</v>
      </c>
      <c r="F208" s="101"/>
      <c r="G208" s="101"/>
      <c r="H208" s="101"/>
      <c r="I208" s="27">
        <f t="shared" si="97"/>
        <v>0</v>
      </c>
      <c r="J208" s="28">
        <f t="shared" si="98"/>
        <v>0</v>
      </c>
      <c r="K208" s="29">
        <f t="shared" si="99"/>
        <v>0</v>
      </c>
      <c r="L208" s="96"/>
      <c r="P208" s="86">
        <v>3</v>
      </c>
    </row>
    <row r="209" s="86" customFormat="1" ht="36" outlineLevel="2" spans="1:12">
      <c r="A209" s="103">
        <f t="shared" si="96"/>
        <v>3</v>
      </c>
      <c r="B209" s="98" t="s">
        <v>63</v>
      </c>
      <c r="C209" s="99" t="s">
        <v>64</v>
      </c>
      <c r="D209" s="100" t="s">
        <v>65</v>
      </c>
      <c r="E209" s="101">
        <v>17.264</v>
      </c>
      <c r="F209" s="101"/>
      <c r="G209" s="101"/>
      <c r="H209" s="101"/>
      <c r="I209" s="27">
        <f t="shared" si="97"/>
        <v>0</v>
      </c>
      <c r="J209" s="28">
        <f t="shared" si="98"/>
        <v>0</v>
      </c>
      <c r="K209" s="29">
        <f t="shared" si="99"/>
        <v>0</v>
      </c>
      <c r="L209" s="96"/>
    </row>
    <row r="210" s="86" customFormat="1" ht="48" outlineLevel="2" spans="1:12">
      <c r="A210" s="103">
        <f t="shared" si="96"/>
        <v>4</v>
      </c>
      <c r="B210" s="98" t="s">
        <v>66</v>
      </c>
      <c r="C210" s="99" t="s">
        <v>67</v>
      </c>
      <c r="D210" s="100" t="s">
        <v>58</v>
      </c>
      <c r="E210" s="101">
        <f>+E207+E208</f>
        <v>24.065</v>
      </c>
      <c r="F210" s="101"/>
      <c r="G210" s="101"/>
      <c r="H210" s="101"/>
      <c r="I210" s="27">
        <f t="shared" si="97"/>
        <v>0</v>
      </c>
      <c r="J210" s="28">
        <f t="shared" si="98"/>
        <v>0</v>
      </c>
      <c r="K210" s="29">
        <f t="shared" si="99"/>
        <v>0</v>
      </c>
      <c r="L210" s="96"/>
    </row>
    <row r="211" s="86" customFormat="1" ht="24" customHeight="1" outlineLevel="1" spans="1:12">
      <c r="A211" s="97"/>
      <c r="B211" s="98" t="s">
        <v>489</v>
      </c>
      <c r="C211" s="99"/>
      <c r="D211" s="100"/>
      <c r="E211" s="101"/>
      <c r="F211" s="101"/>
      <c r="G211" s="101"/>
      <c r="H211" s="101"/>
      <c r="I211" s="101"/>
      <c r="J211" s="101"/>
      <c r="K211" s="102"/>
      <c r="L211" s="96"/>
    </row>
    <row r="212" s="86" customFormat="1" ht="72" outlineLevel="2" spans="1:12">
      <c r="A212" s="103">
        <f t="shared" ref="A212:A223" si="100">1+N(A211)</f>
        <v>1</v>
      </c>
      <c r="B212" s="104" t="s">
        <v>69</v>
      </c>
      <c r="C212" s="99" t="s">
        <v>70</v>
      </c>
      <c r="D212" s="100" t="s">
        <v>58</v>
      </c>
      <c r="E212" s="101">
        <v>6.099</v>
      </c>
      <c r="F212" s="101"/>
      <c r="G212" s="101"/>
      <c r="H212" s="101"/>
      <c r="I212" s="27">
        <f t="shared" ref="I212:I223" si="101">(F212+G212+H212)*$I$3</f>
        <v>0</v>
      </c>
      <c r="J212" s="28">
        <f t="shared" ref="J212:J223" si="102">ROUND(SUM(F212:I212),2)</f>
        <v>0</v>
      </c>
      <c r="K212" s="29">
        <f t="shared" ref="K212:K223" si="103">ROUND(J212*E212,2)</f>
        <v>0</v>
      </c>
      <c r="L212" s="96"/>
    </row>
    <row r="213" s="86" customFormat="1" ht="96" outlineLevel="2" spans="1:12">
      <c r="A213" s="103">
        <f t="shared" si="100"/>
        <v>2</v>
      </c>
      <c r="B213" s="105" t="s">
        <v>71</v>
      </c>
      <c r="C213" s="106" t="s">
        <v>72</v>
      </c>
      <c r="D213" s="100" t="s">
        <v>58</v>
      </c>
      <c r="E213" s="101">
        <v>24.873</v>
      </c>
      <c r="F213" s="101"/>
      <c r="G213" s="101"/>
      <c r="H213" s="101"/>
      <c r="I213" s="27">
        <f t="shared" si="101"/>
        <v>0</v>
      </c>
      <c r="J213" s="28">
        <f t="shared" si="102"/>
        <v>0</v>
      </c>
      <c r="K213" s="29">
        <f t="shared" si="103"/>
        <v>0</v>
      </c>
      <c r="L213" s="96"/>
    </row>
    <row r="214" s="86" customFormat="1" ht="60" customHeight="1" outlineLevel="2" spans="1:12">
      <c r="A214" s="103">
        <f t="shared" si="100"/>
        <v>3</v>
      </c>
      <c r="B214" s="98" t="s">
        <v>221</v>
      </c>
      <c r="C214" s="99" t="s">
        <v>220</v>
      </c>
      <c r="D214" s="100" t="s">
        <v>58</v>
      </c>
      <c r="E214" s="101">
        <v>4.93</v>
      </c>
      <c r="F214" s="101"/>
      <c r="G214" s="101"/>
      <c r="H214" s="101"/>
      <c r="I214" s="27">
        <f t="shared" si="101"/>
        <v>0</v>
      </c>
      <c r="J214" s="28">
        <f t="shared" si="102"/>
        <v>0</v>
      </c>
      <c r="K214" s="29">
        <f t="shared" si="103"/>
        <v>0</v>
      </c>
      <c r="L214" s="96"/>
    </row>
    <row r="215" s="86" customFormat="1" ht="72" outlineLevel="2" spans="1:12">
      <c r="A215" s="103">
        <f t="shared" si="100"/>
        <v>4</v>
      </c>
      <c r="B215" s="107" t="s">
        <v>223</v>
      </c>
      <c r="C215" s="99" t="s">
        <v>224</v>
      </c>
      <c r="D215" s="100" t="s">
        <v>58</v>
      </c>
      <c r="E215" s="101">
        <v>13.784</v>
      </c>
      <c r="F215" s="101"/>
      <c r="G215" s="101"/>
      <c r="H215" s="101"/>
      <c r="I215" s="27">
        <f t="shared" si="101"/>
        <v>0</v>
      </c>
      <c r="J215" s="28">
        <f t="shared" si="102"/>
        <v>0</v>
      </c>
      <c r="K215" s="29">
        <f t="shared" si="103"/>
        <v>0</v>
      </c>
      <c r="L215" s="96"/>
    </row>
    <row r="216" s="86" customFormat="1" ht="48" outlineLevel="2" spans="1:12">
      <c r="A216" s="103">
        <f t="shared" si="100"/>
        <v>5</v>
      </c>
      <c r="B216" s="105" t="s">
        <v>77</v>
      </c>
      <c r="C216" s="106" t="s">
        <v>78</v>
      </c>
      <c r="D216" s="105" t="s">
        <v>58</v>
      </c>
      <c r="E216" s="101">
        <f>0.21*2.2*2+0.15*1.11</f>
        <v>1.0905</v>
      </c>
      <c r="F216" s="101"/>
      <c r="G216" s="101"/>
      <c r="H216" s="101"/>
      <c r="I216" s="27">
        <f t="shared" si="101"/>
        <v>0</v>
      </c>
      <c r="J216" s="28">
        <f t="shared" si="102"/>
        <v>0</v>
      </c>
      <c r="K216" s="29">
        <f t="shared" si="103"/>
        <v>0</v>
      </c>
      <c r="L216" s="96"/>
    </row>
    <row r="217" s="86" customFormat="1" ht="48" outlineLevel="2" spans="1:12">
      <c r="A217" s="103">
        <f t="shared" si="100"/>
        <v>6</v>
      </c>
      <c r="B217" s="105" t="s">
        <v>79</v>
      </c>
      <c r="C217" s="106" t="s">
        <v>78</v>
      </c>
      <c r="D217" s="105" t="s">
        <v>58</v>
      </c>
      <c r="E217" s="101">
        <f>0.34*2.5*2*2</f>
        <v>3.4</v>
      </c>
      <c r="F217" s="101"/>
      <c r="G217" s="101"/>
      <c r="H217" s="101"/>
      <c r="I217" s="27">
        <f t="shared" si="101"/>
        <v>0</v>
      </c>
      <c r="J217" s="28">
        <f t="shared" si="102"/>
        <v>0</v>
      </c>
      <c r="K217" s="29">
        <f t="shared" si="103"/>
        <v>0</v>
      </c>
      <c r="L217" s="96"/>
    </row>
    <row r="218" s="86" customFormat="1" ht="60" outlineLevel="2" spans="1:12">
      <c r="A218" s="103">
        <f t="shared" si="100"/>
        <v>7</v>
      </c>
      <c r="B218" s="105" t="s">
        <v>80</v>
      </c>
      <c r="C218" s="106" t="s">
        <v>81</v>
      </c>
      <c r="D218" s="105" t="s">
        <v>58</v>
      </c>
      <c r="E218" s="101">
        <f>+(0.061+0.22+0.114+0.074)*0.95*2</f>
        <v>0.8911</v>
      </c>
      <c r="F218" s="101"/>
      <c r="G218" s="101"/>
      <c r="H218" s="101"/>
      <c r="I218" s="27">
        <f t="shared" si="101"/>
        <v>0</v>
      </c>
      <c r="J218" s="28">
        <f t="shared" si="102"/>
        <v>0</v>
      </c>
      <c r="K218" s="29">
        <f t="shared" si="103"/>
        <v>0</v>
      </c>
      <c r="L218" s="96"/>
    </row>
    <row r="219" s="86" customFormat="1" ht="48" outlineLevel="2" spans="1:12">
      <c r="A219" s="103">
        <f t="shared" si="100"/>
        <v>8</v>
      </c>
      <c r="B219" s="105" t="s">
        <v>82</v>
      </c>
      <c r="C219" s="106" t="s">
        <v>83</v>
      </c>
      <c r="D219" s="105" t="s">
        <v>58</v>
      </c>
      <c r="E219" s="101">
        <v>0.253</v>
      </c>
      <c r="F219" s="101"/>
      <c r="G219" s="101"/>
      <c r="H219" s="101"/>
      <c r="I219" s="27">
        <f t="shared" si="101"/>
        <v>0</v>
      </c>
      <c r="J219" s="28">
        <f t="shared" si="102"/>
        <v>0</v>
      </c>
      <c r="K219" s="29">
        <f t="shared" si="103"/>
        <v>0</v>
      </c>
      <c r="L219" s="96"/>
    </row>
    <row r="220" s="86" customFormat="1" ht="48" outlineLevel="2" spans="1:12">
      <c r="A220" s="103">
        <f t="shared" si="100"/>
        <v>9</v>
      </c>
      <c r="B220" s="105" t="s">
        <v>86</v>
      </c>
      <c r="C220" s="106" t="s">
        <v>87</v>
      </c>
      <c r="D220" s="105" t="s">
        <v>65</v>
      </c>
      <c r="E220" s="101">
        <v>19.611</v>
      </c>
      <c r="F220" s="101"/>
      <c r="G220" s="101"/>
      <c r="H220" s="101"/>
      <c r="I220" s="27">
        <f t="shared" si="101"/>
        <v>0</v>
      </c>
      <c r="J220" s="28">
        <f t="shared" si="102"/>
        <v>0</v>
      </c>
      <c r="K220" s="29">
        <f t="shared" si="103"/>
        <v>0</v>
      </c>
      <c r="L220" s="96"/>
    </row>
    <row r="221" s="86" customFormat="1" ht="36" outlineLevel="2" spans="1:12">
      <c r="A221" s="103">
        <f t="shared" si="100"/>
        <v>10</v>
      </c>
      <c r="B221" s="105" t="s">
        <v>514</v>
      </c>
      <c r="C221" s="106" t="s">
        <v>515</v>
      </c>
      <c r="D221" s="105" t="s">
        <v>65</v>
      </c>
      <c r="E221" s="101">
        <v>5.065</v>
      </c>
      <c r="F221" s="101"/>
      <c r="G221" s="101"/>
      <c r="H221" s="101"/>
      <c r="I221" s="27">
        <f t="shared" si="101"/>
        <v>0</v>
      </c>
      <c r="J221" s="28">
        <f t="shared" si="102"/>
        <v>0</v>
      </c>
      <c r="K221" s="29">
        <f t="shared" si="103"/>
        <v>0</v>
      </c>
      <c r="L221" s="96"/>
    </row>
    <row r="222" s="86" customFormat="1" ht="48" outlineLevel="2" spans="1:12">
      <c r="A222" s="103">
        <f t="shared" si="100"/>
        <v>11</v>
      </c>
      <c r="B222" s="105" t="s">
        <v>92</v>
      </c>
      <c r="C222" s="106" t="s">
        <v>93</v>
      </c>
      <c r="D222" s="105" t="s">
        <v>65</v>
      </c>
      <c r="E222" s="101">
        <v>10.795</v>
      </c>
      <c r="F222" s="101"/>
      <c r="G222" s="101"/>
      <c r="H222" s="101"/>
      <c r="I222" s="27">
        <f t="shared" si="101"/>
        <v>0</v>
      </c>
      <c r="J222" s="28">
        <f t="shared" si="102"/>
        <v>0</v>
      </c>
      <c r="K222" s="29">
        <f t="shared" si="103"/>
        <v>0</v>
      </c>
      <c r="L222" s="96"/>
    </row>
    <row r="223" s="86" customFormat="1" ht="48" outlineLevel="2" spans="1:12">
      <c r="A223" s="103">
        <f t="shared" si="100"/>
        <v>12</v>
      </c>
      <c r="B223" s="105" t="s">
        <v>94</v>
      </c>
      <c r="C223" s="106" t="s">
        <v>95</v>
      </c>
      <c r="D223" s="105" t="s">
        <v>65</v>
      </c>
      <c r="E223" s="101">
        <v>22.751</v>
      </c>
      <c r="F223" s="101"/>
      <c r="G223" s="101"/>
      <c r="H223" s="101"/>
      <c r="I223" s="27">
        <f t="shared" si="101"/>
        <v>0</v>
      </c>
      <c r="J223" s="28">
        <f t="shared" si="102"/>
        <v>0</v>
      </c>
      <c r="K223" s="29">
        <f t="shared" si="103"/>
        <v>0</v>
      </c>
      <c r="L223" s="96"/>
    </row>
    <row r="224" s="86" customFormat="1" ht="24" customHeight="1" outlineLevel="1" spans="1:12">
      <c r="A224" s="97"/>
      <c r="B224" s="98" t="s">
        <v>96</v>
      </c>
      <c r="C224" s="99"/>
      <c r="D224" s="100"/>
      <c r="E224" s="101"/>
      <c r="F224" s="101"/>
      <c r="G224" s="101"/>
      <c r="H224" s="101"/>
      <c r="I224" s="101"/>
      <c r="J224" s="101"/>
      <c r="K224" s="102"/>
      <c r="L224" s="96"/>
    </row>
    <row r="225" s="86" customFormat="1" ht="96" outlineLevel="2" spans="1:16">
      <c r="A225" s="103">
        <f t="shared" ref="A225:A229" si="104">1+N(A224)</f>
        <v>1</v>
      </c>
      <c r="B225" s="98" t="s">
        <v>455</v>
      </c>
      <c r="C225" s="108" t="s">
        <v>98</v>
      </c>
      <c r="D225" s="100" t="s">
        <v>58</v>
      </c>
      <c r="E225" s="101">
        <v>25.022</v>
      </c>
      <c r="F225" s="101"/>
      <c r="G225" s="101"/>
      <c r="H225" s="101"/>
      <c r="I225" s="27">
        <f t="shared" ref="I225:I229" si="105">(F225+G225+H225)*$I$3</f>
        <v>0</v>
      </c>
      <c r="J225" s="28">
        <f t="shared" ref="J225:J229" si="106">ROUND(SUM(F225:I225),2)</f>
        <v>0</v>
      </c>
      <c r="K225" s="29">
        <f t="shared" ref="K225:K229" si="107">ROUND(J225*E225,2)</f>
        <v>0</v>
      </c>
      <c r="L225" s="96"/>
    </row>
    <row r="226" s="86" customFormat="1" ht="72" customHeight="1" outlineLevel="2" spans="1:16">
      <c r="A226" s="103">
        <f t="shared" si="104"/>
        <v>2</v>
      </c>
      <c r="B226" s="98" t="s">
        <v>99</v>
      </c>
      <c r="C226" s="108" t="s">
        <v>100</v>
      </c>
      <c r="D226" s="100" t="s">
        <v>65</v>
      </c>
      <c r="E226" s="101">
        <v>17.282</v>
      </c>
      <c r="F226" s="101"/>
      <c r="G226" s="101"/>
      <c r="H226" s="101"/>
      <c r="I226" s="27">
        <f t="shared" si="105"/>
        <v>0</v>
      </c>
      <c r="J226" s="28">
        <f t="shared" si="106"/>
        <v>0</v>
      </c>
      <c r="K226" s="29">
        <f t="shared" si="107"/>
        <v>0</v>
      </c>
      <c r="L226" s="96"/>
    </row>
    <row r="227" s="86" customFormat="1" ht="72" customHeight="1" outlineLevel="2" spans="1:16">
      <c r="A227" s="103">
        <f t="shared" si="104"/>
        <v>3</v>
      </c>
      <c r="B227" s="98" t="s">
        <v>101</v>
      </c>
      <c r="C227" s="99" t="s">
        <v>102</v>
      </c>
      <c r="D227" s="100" t="s">
        <v>65</v>
      </c>
      <c r="E227" s="101">
        <v>17.282</v>
      </c>
      <c r="F227" s="101"/>
      <c r="G227" s="101"/>
      <c r="H227" s="101"/>
      <c r="I227" s="27">
        <f t="shared" si="105"/>
        <v>0</v>
      </c>
      <c r="J227" s="28">
        <f t="shared" si="106"/>
        <v>0</v>
      </c>
      <c r="K227" s="29">
        <f t="shared" si="107"/>
        <v>0</v>
      </c>
      <c r="L227" s="96"/>
    </row>
    <row r="228" s="86" customFormat="1" ht="72" customHeight="1" outlineLevel="2" spans="1:16">
      <c r="A228" s="103">
        <f t="shared" si="104"/>
        <v>4</v>
      </c>
      <c r="B228" s="98" t="s">
        <v>103</v>
      </c>
      <c r="C228" s="99" t="s">
        <v>104</v>
      </c>
      <c r="D228" s="100" t="s">
        <v>65</v>
      </c>
      <c r="E228" s="101">
        <f>5.12*2</f>
        <v>10.24</v>
      </c>
      <c r="F228" s="101"/>
      <c r="G228" s="101"/>
      <c r="H228" s="101"/>
      <c r="I228" s="27">
        <f t="shared" si="105"/>
        <v>0</v>
      </c>
      <c r="J228" s="28">
        <f t="shared" si="106"/>
        <v>0</v>
      </c>
      <c r="K228" s="29">
        <f t="shared" si="107"/>
        <v>0</v>
      </c>
      <c r="L228" s="96"/>
    </row>
    <row r="229" s="86" customFormat="1" ht="72" customHeight="1" outlineLevel="2" spans="1:16">
      <c r="A229" s="103">
        <f t="shared" si="104"/>
        <v>5</v>
      </c>
      <c r="B229" s="98" t="s">
        <v>105</v>
      </c>
      <c r="C229" s="99" t="s">
        <v>106</v>
      </c>
      <c r="D229" s="100" t="s">
        <v>58</v>
      </c>
      <c r="E229" s="101">
        <v>30.972</v>
      </c>
      <c r="F229" s="101"/>
      <c r="G229" s="101"/>
      <c r="H229" s="101"/>
      <c r="I229" s="27">
        <f t="shared" si="105"/>
        <v>0</v>
      </c>
      <c r="J229" s="28">
        <f t="shared" si="106"/>
        <v>0</v>
      </c>
      <c r="K229" s="29">
        <f t="shared" si="107"/>
        <v>0</v>
      </c>
      <c r="L229" s="96"/>
    </row>
    <row r="230" s="86" customFormat="1" ht="24" customHeight="1" outlineLevel="1" spans="1:16">
      <c r="A230" s="97"/>
      <c r="B230" s="98" t="s">
        <v>107</v>
      </c>
      <c r="C230" s="99"/>
      <c r="D230" s="100"/>
      <c r="E230" s="101"/>
      <c r="F230" s="101"/>
      <c r="G230" s="101"/>
      <c r="H230" s="101"/>
      <c r="I230" s="101"/>
      <c r="J230" s="101"/>
      <c r="K230" s="102"/>
      <c r="L230" s="96"/>
    </row>
    <row r="231" s="86" customFormat="1" ht="24" customHeight="1" outlineLevel="1" spans="1:16">
      <c r="A231" s="92" t="s">
        <v>114</v>
      </c>
      <c r="B231" s="93" t="s">
        <v>518</v>
      </c>
      <c r="C231" s="93"/>
      <c r="D231" s="94"/>
      <c r="E231" s="95"/>
      <c r="F231" s="95"/>
      <c r="G231" s="95"/>
      <c r="H231" s="95"/>
      <c r="I231" s="95"/>
      <c r="J231" s="95"/>
      <c r="K231" s="23"/>
      <c r="L231" s="96"/>
    </row>
    <row r="232" s="86" customFormat="1" ht="24" customHeight="1" outlineLevel="1" spans="1:16">
      <c r="A232" s="97"/>
      <c r="B232" s="98" t="s">
        <v>55</v>
      </c>
      <c r="C232" s="99"/>
      <c r="D232" s="100"/>
      <c r="E232" s="101"/>
      <c r="F232" s="101"/>
      <c r="G232" s="101"/>
      <c r="H232" s="101"/>
      <c r="I232" s="101"/>
      <c r="J232" s="101"/>
      <c r="K232" s="102"/>
      <c r="L232" s="96"/>
    </row>
    <row r="233" s="86" customFormat="1" ht="96" outlineLevel="2" spans="1:16">
      <c r="A233" s="103">
        <f t="shared" ref="A233:A236" si="108">1+N(A232)</f>
        <v>1</v>
      </c>
      <c r="B233" s="98" t="s">
        <v>56</v>
      </c>
      <c r="C233" s="99" t="s">
        <v>57</v>
      </c>
      <c r="D233" s="100" t="s">
        <v>58</v>
      </c>
      <c r="E233" s="101">
        <v>6.892</v>
      </c>
      <c r="F233" s="101"/>
      <c r="G233" s="101"/>
      <c r="H233" s="27"/>
      <c r="I233" s="27">
        <f t="shared" ref="I233:I236" si="109">(F233+G233+H233)*$I$3</f>
        <v>0</v>
      </c>
      <c r="J233" s="28">
        <f t="shared" ref="J233:J236" si="110">ROUND(SUM(F233:I233),2)</f>
        <v>0</v>
      </c>
      <c r="K233" s="29">
        <f t="shared" ref="K233:K236" si="111">ROUND(J233*E233,2)</f>
        <v>0</v>
      </c>
      <c r="L233" s="96"/>
      <c r="P233" s="86">
        <v>3</v>
      </c>
    </row>
    <row r="234" s="86" customFormat="1" ht="108" outlineLevel="2" spans="1:16">
      <c r="A234" s="103">
        <f t="shared" si="108"/>
        <v>2</v>
      </c>
      <c r="B234" s="98" t="s">
        <v>59</v>
      </c>
      <c r="C234" s="99" t="s">
        <v>60</v>
      </c>
      <c r="D234" s="100" t="s">
        <v>58</v>
      </c>
      <c r="E234" s="101">
        <v>17.115</v>
      </c>
      <c r="F234" s="101"/>
      <c r="G234" s="101"/>
      <c r="H234" s="101"/>
      <c r="I234" s="27">
        <f t="shared" si="109"/>
        <v>0</v>
      </c>
      <c r="J234" s="28">
        <f t="shared" si="110"/>
        <v>0</v>
      </c>
      <c r="K234" s="29">
        <f t="shared" si="111"/>
        <v>0</v>
      </c>
      <c r="L234" s="96"/>
      <c r="P234" s="86">
        <v>3</v>
      </c>
    </row>
    <row r="235" s="86" customFormat="1" ht="36" outlineLevel="2" spans="1:16">
      <c r="A235" s="103">
        <f t="shared" si="108"/>
        <v>3</v>
      </c>
      <c r="B235" s="98" t="s">
        <v>63</v>
      </c>
      <c r="C235" s="99" t="s">
        <v>64</v>
      </c>
      <c r="D235" s="100" t="s">
        <v>65</v>
      </c>
      <c r="E235" s="101">
        <v>17.725</v>
      </c>
      <c r="F235" s="101"/>
      <c r="G235" s="101"/>
      <c r="H235" s="101"/>
      <c r="I235" s="27">
        <f t="shared" si="109"/>
        <v>0</v>
      </c>
      <c r="J235" s="28">
        <f t="shared" si="110"/>
        <v>0</v>
      </c>
      <c r="K235" s="29">
        <f t="shared" si="111"/>
        <v>0</v>
      </c>
      <c r="L235" s="96"/>
    </row>
    <row r="236" s="86" customFormat="1" ht="48" outlineLevel="2" spans="1:16">
      <c r="A236" s="103">
        <f t="shared" si="108"/>
        <v>4</v>
      </c>
      <c r="B236" s="98" t="s">
        <v>66</v>
      </c>
      <c r="C236" s="99" t="s">
        <v>67</v>
      </c>
      <c r="D236" s="100" t="s">
        <v>58</v>
      </c>
      <c r="E236" s="101">
        <f>+E233+E234</f>
        <v>24.007</v>
      </c>
      <c r="F236" s="101"/>
      <c r="G236" s="101"/>
      <c r="H236" s="101"/>
      <c r="I236" s="27">
        <f t="shared" si="109"/>
        <v>0</v>
      </c>
      <c r="J236" s="28">
        <f t="shared" si="110"/>
        <v>0</v>
      </c>
      <c r="K236" s="29">
        <f t="shared" si="111"/>
        <v>0</v>
      </c>
      <c r="L236" s="96"/>
    </row>
    <row r="237" s="86" customFormat="1" ht="24" customHeight="1" outlineLevel="1" spans="1:16">
      <c r="A237" s="97"/>
      <c r="B237" s="98" t="s">
        <v>489</v>
      </c>
      <c r="C237" s="99"/>
      <c r="D237" s="100"/>
      <c r="E237" s="101"/>
      <c r="F237" s="101"/>
      <c r="G237" s="101"/>
      <c r="H237" s="101"/>
      <c r="I237" s="101"/>
      <c r="J237" s="101"/>
      <c r="K237" s="102"/>
      <c r="L237" s="96"/>
    </row>
    <row r="238" s="86" customFormat="1" ht="72" outlineLevel="2" spans="1:16">
      <c r="A238" s="103">
        <f t="shared" ref="A238:A245" si="112">1+N(A237)</f>
        <v>1</v>
      </c>
      <c r="B238" s="104" t="s">
        <v>69</v>
      </c>
      <c r="C238" s="99" t="s">
        <v>70</v>
      </c>
      <c r="D238" s="100" t="s">
        <v>58</v>
      </c>
      <c r="E238" s="101">
        <v>8.447</v>
      </c>
      <c r="F238" s="101"/>
      <c r="G238" s="101"/>
      <c r="H238" s="101"/>
      <c r="I238" s="27">
        <f t="shared" ref="I238:I245" si="113">(F238+G238+H238)*$I$3</f>
        <v>0</v>
      </c>
      <c r="J238" s="28">
        <f t="shared" ref="J238:J245" si="114">ROUND(SUM(F238:I238),2)</f>
        <v>0</v>
      </c>
      <c r="K238" s="29">
        <f t="shared" ref="K238:K245" si="115">ROUND(J238*E238,2)</f>
        <v>0</v>
      </c>
      <c r="L238" s="96"/>
    </row>
    <row r="239" s="86" customFormat="1" ht="96" outlineLevel="2" spans="1:16">
      <c r="A239" s="103">
        <f t="shared" si="112"/>
        <v>2</v>
      </c>
      <c r="B239" s="105" t="s">
        <v>71</v>
      </c>
      <c r="C239" s="106" t="s">
        <v>72</v>
      </c>
      <c r="D239" s="100" t="s">
        <v>58</v>
      </c>
      <c r="E239" s="101">
        <v>32.965</v>
      </c>
      <c r="F239" s="101"/>
      <c r="G239" s="101"/>
      <c r="H239" s="101"/>
      <c r="I239" s="27">
        <f t="shared" si="113"/>
        <v>0</v>
      </c>
      <c r="J239" s="28">
        <f t="shared" si="114"/>
        <v>0</v>
      </c>
      <c r="K239" s="29">
        <f t="shared" si="115"/>
        <v>0</v>
      </c>
      <c r="L239" s="96"/>
    </row>
    <row r="240" s="86" customFormat="1" ht="48" outlineLevel="2" spans="1:16">
      <c r="A240" s="103">
        <f t="shared" si="112"/>
        <v>3</v>
      </c>
      <c r="B240" s="105" t="s">
        <v>79</v>
      </c>
      <c r="C240" s="106" t="s">
        <v>78</v>
      </c>
      <c r="D240" s="105" t="s">
        <v>58</v>
      </c>
      <c r="E240" s="101">
        <f>0.34*2.5*2*2</f>
        <v>3.4</v>
      </c>
      <c r="F240" s="101"/>
      <c r="G240" s="101"/>
      <c r="H240" s="101"/>
      <c r="I240" s="27">
        <f t="shared" si="113"/>
        <v>0</v>
      </c>
      <c r="J240" s="28">
        <f t="shared" si="114"/>
        <v>0</v>
      </c>
      <c r="K240" s="29">
        <f t="shared" si="115"/>
        <v>0</v>
      </c>
      <c r="L240" s="96"/>
    </row>
    <row r="241" s="86" customFormat="1" ht="60" outlineLevel="2" spans="1:16">
      <c r="A241" s="103">
        <f t="shared" si="112"/>
        <v>4</v>
      </c>
      <c r="B241" s="105" t="s">
        <v>80</v>
      </c>
      <c r="C241" s="106" t="s">
        <v>81</v>
      </c>
      <c r="D241" s="105" t="s">
        <v>58</v>
      </c>
      <c r="E241" s="101">
        <f>+(0.061+0.22+0.114+0.074)*0.95*2</f>
        <v>0.8911</v>
      </c>
      <c r="F241" s="101"/>
      <c r="G241" s="101"/>
      <c r="H241" s="101"/>
      <c r="I241" s="27">
        <f t="shared" si="113"/>
        <v>0</v>
      </c>
      <c r="J241" s="28">
        <f t="shared" si="114"/>
        <v>0</v>
      </c>
      <c r="K241" s="29">
        <f t="shared" si="115"/>
        <v>0</v>
      </c>
      <c r="L241" s="96"/>
    </row>
    <row r="242" s="86" customFormat="1" ht="48" outlineLevel="2" spans="1:16">
      <c r="A242" s="103">
        <f t="shared" si="112"/>
        <v>5</v>
      </c>
      <c r="B242" s="105" t="s">
        <v>82</v>
      </c>
      <c r="C242" s="106" t="s">
        <v>83</v>
      </c>
      <c r="D242" s="105" t="s">
        <v>58</v>
      </c>
      <c r="E242" s="101">
        <v>0.253</v>
      </c>
      <c r="F242" s="101"/>
      <c r="G242" s="101"/>
      <c r="H242" s="101"/>
      <c r="I242" s="27">
        <f t="shared" si="113"/>
        <v>0</v>
      </c>
      <c r="J242" s="28">
        <f t="shared" si="114"/>
        <v>0</v>
      </c>
      <c r="K242" s="29">
        <f t="shared" si="115"/>
        <v>0</v>
      </c>
      <c r="L242" s="96"/>
    </row>
    <row r="243" s="86" customFormat="1" ht="48" outlineLevel="2" spans="1:16">
      <c r="A243" s="103">
        <f t="shared" si="112"/>
        <v>6</v>
      </c>
      <c r="B243" s="105" t="s">
        <v>86</v>
      </c>
      <c r="C243" s="106" t="s">
        <v>87</v>
      </c>
      <c r="D243" s="105" t="s">
        <v>65</v>
      </c>
      <c r="E243" s="101">
        <v>16.796</v>
      </c>
      <c r="F243" s="101"/>
      <c r="G243" s="101"/>
      <c r="H243" s="101"/>
      <c r="I243" s="27">
        <f t="shared" si="113"/>
        <v>0</v>
      </c>
      <c r="J243" s="28">
        <f t="shared" si="114"/>
        <v>0</v>
      </c>
      <c r="K243" s="29">
        <f t="shared" si="115"/>
        <v>0</v>
      </c>
      <c r="L243" s="96"/>
    </row>
    <row r="244" s="86" customFormat="1" ht="48" outlineLevel="2" spans="1:16">
      <c r="A244" s="103">
        <f t="shared" si="112"/>
        <v>7</v>
      </c>
      <c r="B244" s="105" t="s">
        <v>92</v>
      </c>
      <c r="C244" s="106" t="s">
        <v>93</v>
      </c>
      <c r="D244" s="105" t="s">
        <v>65</v>
      </c>
      <c r="E244" s="101">
        <v>14.948</v>
      </c>
      <c r="F244" s="101"/>
      <c r="G244" s="101"/>
      <c r="H244" s="101"/>
      <c r="I244" s="27">
        <f t="shared" si="113"/>
        <v>0</v>
      </c>
      <c r="J244" s="28">
        <f t="shared" si="114"/>
        <v>0</v>
      </c>
      <c r="K244" s="29">
        <f t="shared" si="115"/>
        <v>0</v>
      </c>
      <c r="L244" s="96"/>
    </row>
    <row r="245" s="86" customFormat="1" ht="48" outlineLevel="2" spans="1:16">
      <c r="A245" s="103">
        <f t="shared" si="112"/>
        <v>8</v>
      </c>
      <c r="B245" s="105" t="s">
        <v>94</v>
      </c>
      <c r="C245" s="106" t="s">
        <v>95</v>
      </c>
      <c r="D245" s="105" t="s">
        <v>65</v>
      </c>
      <c r="E245" s="101">
        <v>18.661</v>
      </c>
      <c r="F245" s="101"/>
      <c r="G245" s="101"/>
      <c r="H245" s="101"/>
      <c r="I245" s="27">
        <f t="shared" si="113"/>
        <v>0</v>
      </c>
      <c r="J245" s="28">
        <f t="shared" si="114"/>
        <v>0</v>
      </c>
      <c r="K245" s="29">
        <f t="shared" si="115"/>
        <v>0</v>
      </c>
      <c r="L245" s="96"/>
    </row>
    <row r="246" s="86" customFormat="1" ht="24" customHeight="1" outlineLevel="1" spans="1:16">
      <c r="A246" s="97"/>
      <c r="B246" s="98" t="s">
        <v>96</v>
      </c>
      <c r="C246" s="99"/>
      <c r="D246" s="100"/>
      <c r="E246" s="101"/>
      <c r="F246" s="101"/>
      <c r="G246" s="101"/>
      <c r="H246" s="101"/>
      <c r="I246" s="101"/>
      <c r="J246" s="101"/>
      <c r="K246" s="102"/>
      <c r="L246" s="96"/>
    </row>
    <row r="247" s="86" customFormat="1" ht="96" outlineLevel="2" spans="1:16">
      <c r="A247" s="103">
        <f t="shared" ref="A247:A251" si="116">1+N(A246)</f>
        <v>1</v>
      </c>
      <c r="B247" s="98" t="s">
        <v>455</v>
      </c>
      <c r="C247" s="108" t="s">
        <v>98</v>
      </c>
      <c r="D247" s="100" t="s">
        <v>58</v>
      </c>
      <c r="E247" s="101">
        <v>25.184</v>
      </c>
      <c r="F247" s="101"/>
      <c r="G247" s="101"/>
      <c r="H247" s="101"/>
      <c r="I247" s="27">
        <f t="shared" ref="I247:I251" si="117">(F247+G247+H247)*$I$3</f>
        <v>0</v>
      </c>
      <c r="J247" s="28">
        <f t="shared" ref="J247:J251" si="118">ROUND(SUM(F247:I247),2)</f>
        <v>0</v>
      </c>
      <c r="K247" s="29">
        <f t="shared" ref="K247:K251" si="119">ROUND(J247*E247,2)</f>
        <v>0</v>
      </c>
      <c r="L247" s="96"/>
    </row>
    <row r="248" s="86" customFormat="1" ht="72" customHeight="1" outlineLevel="2" spans="1:16">
      <c r="A248" s="103">
        <f t="shared" si="116"/>
        <v>2</v>
      </c>
      <c r="B248" s="98" t="s">
        <v>99</v>
      </c>
      <c r="C248" s="108" t="s">
        <v>100</v>
      </c>
      <c r="D248" s="100" t="s">
        <v>65</v>
      </c>
      <c r="E248" s="101">
        <v>17.741</v>
      </c>
      <c r="F248" s="101"/>
      <c r="G248" s="101"/>
      <c r="H248" s="101"/>
      <c r="I248" s="27">
        <f t="shared" si="117"/>
        <v>0</v>
      </c>
      <c r="J248" s="28">
        <f t="shared" si="118"/>
        <v>0</v>
      </c>
      <c r="K248" s="29">
        <f t="shared" si="119"/>
        <v>0</v>
      </c>
      <c r="L248" s="96"/>
    </row>
    <row r="249" s="86" customFormat="1" ht="72" customHeight="1" outlineLevel="2" spans="1:16">
      <c r="A249" s="103">
        <f t="shared" si="116"/>
        <v>3</v>
      </c>
      <c r="B249" s="98" t="s">
        <v>101</v>
      </c>
      <c r="C249" s="99" t="s">
        <v>102</v>
      </c>
      <c r="D249" s="100" t="s">
        <v>65</v>
      </c>
      <c r="E249" s="101">
        <v>17.741</v>
      </c>
      <c r="F249" s="101"/>
      <c r="G249" s="101"/>
      <c r="H249" s="101"/>
      <c r="I249" s="27">
        <f t="shared" si="117"/>
        <v>0</v>
      </c>
      <c r="J249" s="28">
        <f t="shared" si="118"/>
        <v>0</v>
      </c>
      <c r="K249" s="29">
        <f t="shared" si="119"/>
        <v>0</v>
      </c>
      <c r="L249" s="96"/>
    </row>
    <row r="250" s="86" customFormat="1" ht="72" customHeight="1" outlineLevel="2" spans="1:16">
      <c r="A250" s="103">
        <f t="shared" si="116"/>
        <v>4</v>
      </c>
      <c r="B250" s="98" t="s">
        <v>103</v>
      </c>
      <c r="C250" s="99" t="s">
        <v>104</v>
      </c>
      <c r="D250" s="100" t="s">
        <v>65</v>
      </c>
      <c r="E250" s="101">
        <f>6*2</f>
        <v>12</v>
      </c>
      <c r="F250" s="101"/>
      <c r="G250" s="101"/>
      <c r="H250" s="101"/>
      <c r="I250" s="27">
        <f t="shared" si="117"/>
        <v>0</v>
      </c>
      <c r="J250" s="28">
        <f t="shared" si="118"/>
        <v>0</v>
      </c>
      <c r="K250" s="29">
        <f t="shared" si="119"/>
        <v>0</v>
      </c>
      <c r="L250" s="96"/>
    </row>
    <row r="251" s="86" customFormat="1" ht="72" customHeight="1" outlineLevel="2" spans="1:16">
      <c r="A251" s="103">
        <f t="shared" si="116"/>
        <v>5</v>
      </c>
      <c r="B251" s="98" t="s">
        <v>105</v>
      </c>
      <c r="C251" s="99" t="s">
        <v>106</v>
      </c>
      <c r="D251" s="100" t="s">
        <v>58</v>
      </c>
      <c r="E251" s="101">
        <v>31.294</v>
      </c>
      <c r="F251" s="101"/>
      <c r="G251" s="101"/>
      <c r="H251" s="101"/>
      <c r="I251" s="27">
        <f t="shared" si="117"/>
        <v>0</v>
      </c>
      <c r="J251" s="28">
        <f t="shared" si="118"/>
        <v>0</v>
      </c>
      <c r="K251" s="29">
        <f t="shared" si="119"/>
        <v>0</v>
      </c>
      <c r="L251" s="96"/>
    </row>
    <row r="252" s="86" customFormat="1" ht="24" customHeight="1" outlineLevel="1" spans="1:16">
      <c r="A252" s="97"/>
      <c r="B252" s="98" t="s">
        <v>107</v>
      </c>
      <c r="C252" s="99"/>
      <c r="D252" s="100"/>
      <c r="E252" s="101"/>
      <c r="F252" s="101"/>
      <c r="G252" s="101"/>
      <c r="H252" s="101"/>
      <c r="I252" s="101"/>
      <c r="J252" s="101"/>
      <c r="K252" s="102"/>
      <c r="L252" s="96"/>
    </row>
    <row r="253" s="86" customFormat="1" ht="24" customHeight="1" outlineLevel="1" spans="1:16">
      <c r="A253" s="92" t="s">
        <v>122</v>
      </c>
      <c r="B253" s="93" t="s">
        <v>519</v>
      </c>
      <c r="C253" s="93"/>
      <c r="D253" s="94"/>
      <c r="E253" s="95"/>
      <c r="F253" s="95"/>
      <c r="G253" s="95"/>
      <c r="H253" s="95"/>
      <c r="I253" s="95"/>
      <c r="J253" s="95"/>
      <c r="K253" s="23"/>
      <c r="L253" s="96"/>
    </row>
    <row r="254" s="86" customFormat="1" ht="24" customHeight="1" outlineLevel="1" spans="1:16">
      <c r="A254" s="97"/>
      <c r="B254" s="98" t="s">
        <v>55</v>
      </c>
      <c r="C254" s="99"/>
      <c r="D254" s="100"/>
      <c r="E254" s="101"/>
      <c r="F254" s="101"/>
      <c r="G254" s="101"/>
      <c r="H254" s="101"/>
      <c r="I254" s="101"/>
      <c r="J254" s="101"/>
      <c r="K254" s="102"/>
      <c r="L254" s="96"/>
    </row>
    <row r="255" s="86" customFormat="1" ht="96" outlineLevel="2" spans="1:16">
      <c r="A255" s="103">
        <f t="shared" ref="A255:A258" si="120">1+N(A254)</f>
        <v>1</v>
      </c>
      <c r="B255" s="98" t="s">
        <v>56</v>
      </c>
      <c r="C255" s="99" t="s">
        <v>57</v>
      </c>
      <c r="D255" s="100" t="s">
        <v>58</v>
      </c>
      <c r="E255" s="101">
        <v>5.983</v>
      </c>
      <c r="F255" s="101"/>
      <c r="G255" s="101"/>
      <c r="H255" s="27"/>
      <c r="I255" s="27">
        <f t="shared" ref="I255:I258" si="121">(F255+G255+H255)*$I$3</f>
        <v>0</v>
      </c>
      <c r="J255" s="28">
        <f t="shared" ref="J255:J258" si="122">ROUND(SUM(F255:I255),2)</f>
        <v>0</v>
      </c>
      <c r="K255" s="29">
        <f t="shared" ref="K255:K258" si="123">ROUND(J255*E255,2)</f>
        <v>0</v>
      </c>
      <c r="L255" s="96"/>
      <c r="P255" s="86">
        <v>3</v>
      </c>
    </row>
    <row r="256" s="86" customFormat="1" ht="108" outlineLevel="2" spans="1:16">
      <c r="A256" s="103">
        <f t="shared" si="120"/>
        <v>2</v>
      </c>
      <c r="B256" s="98" t="s">
        <v>59</v>
      </c>
      <c r="C256" s="99" t="s">
        <v>60</v>
      </c>
      <c r="D256" s="100" t="s">
        <v>58</v>
      </c>
      <c r="E256" s="101">
        <v>7.717</v>
      </c>
      <c r="F256" s="101"/>
      <c r="G256" s="101"/>
      <c r="H256" s="101"/>
      <c r="I256" s="27">
        <f t="shared" si="121"/>
        <v>0</v>
      </c>
      <c r="J256" s="28">
        <f t="shared" si="122"/>
        <v>0</v>
      </c>
      <c r="K256" s="29">
        <f t="shared" si="123"/>
        <v>0</v>
      </c>
      <c r="L256" s="96"/>
      <c r="P256" s="86">
        <v>3</v>
      </c>
    </row>
    <row r="257" s="86" customFormat="1" ht="36" outlineLevel="2" spans="1:12">
      <c r="A257" s="103">
        <f t="shared" si="120"/>
        <v>3</v>
      </c>
      <c r="B257" s="98" t="s">
        <v>63</v>
      </c>
      <c r="C257" s="99" t="s">
        <v>64</v>
      </c>
      <c r="D257" s="100" t="s">
        <v>65</v>
      </c>
      <c r="E257" s="101">
        <v>10.468</v>
      </c>
      <c r="F257" s="101"/>
      <c r="G257" s="101"/>
      <c r="H257" s="101"/>
      <c r="I257" s="27">
        <f t="shared" si="121"/>
        <v>0</v>
      </c>
      <c r="J257" s="28">
        <f t="shared" si="122"/>
        <v>0</v>
      </c>
      <c r="K257" s="29">
        <f t="shared" si="123"/>
        <v>0</v>
      </c>
      <c r="L257" s="96"/>
    </row>
    <row r="258" s="86" customFormat="1" ht="48" outlineLevel="2" spans="1:12">
      <c r="A258" s="103">
        <f t="shared" si="120"/>
        <v>4</v>
      </c>
      <c r="B258" s="98" t="s">
        <v>66</v>
      </c>
      <c r="C258" s="99" t="s">
        <v>67</v>
      </c>
      <c r="D258" s="100" t="s">
        <v>58</v>
      </c>
      <c r="E258" s="101">
        <f>+E255+E256</f>
        <v>13.7</v>
      </c>
      <c r="F258" s="101"/>
      <c r="G258" s="101"/>
      <c r="H258" s="101"/>
      <c r="I258" s="27">
        <f t="shared" si="121"/>
        <v>0</v>
      </c>
      <c r="J258" s="28">
        <f t="shared" si="122"/>
        <v>0</v>
      </c>
      <c r="K258" s="29">
        <f t="shared" si="123"/>
        <v>0</v>
      </c>
      <c r="L258" s="96"/>
    </row>
    <row r="259" s="86" customFormat="1" ht="24" customHeight="1" outlineLevel="1" spans="1:12">
      <c r="A259" s="97"/>
      <c r="B259" s="98" t="s">
        <v>489</v>
      </c>
      <c r="C259" s="99"/>
      <c r="D259" s="100"/>
      <c r="E259" s="101"/>
      <c r="F259" s="101"/>
      <c r="G259" s="101"/>
      <c r="H259" s="101"/>
      <c r="I259" s="101"/>
      <c r="J259" s="101"/>
      <c r="K259" s="102"/>
      <c r="L259" s="96"/>
    </row>
    <row r="260" s="86" customFormat="1" ht="72" outlineLevel="2" spans="1:12">
      <c r="A260" s="103">
        <f t="shared" ref="A260:A271" si="124">1+N(A259)</f>
        <v>1</v>
      </c>
      <c r="B260" s="104" t="s">
        <v>69</v>
      </c>
      <c r="C260" s="99" t="s">
        <v>70</v>
      </c>
      <c r="D260" s="100" t="s">
        <v>58</v>
      </c>
      <c r="E260" s="101">
        <v>3.166</v>
      </c>
      <c r="F260" s="101"/>
      <c r="G260" s="101"/>
      <c r="H260" s="101"/>
      <c r="I260" s="27">
        <f t="shared" ref="I260:I271" si="125">(F260+G260+H260)*$I$3</f>
        <v>0</v>
      </c>
      <c r="J260" s="28">
        <f t="shared" ref="J260:J271" si="126">ROUND(SUM(F260:I260),2)</f>
        <v>0</v>
      </c>
      <c r="K260" s="29">
        <f t="shared" ref="K260:K271" si="127">ROUND(J260*E260,2)</f>
        <v>0</v>
      </c>
      <c r="L260" s="96"/>
    </row>
    <row r="261" s="86" customFormat="1" ht="96" outlineLevel="2" spans="1:12">
      <c r="A261" s="103">
        <f t="shared" si="124"/>
        <v>2</v>
      </c>
      <c r="B261" s="105" t="s">
        <v>71</v>
      </c>
      <c r="C261" s="106" t="s">
        <v>72</v>
      </c>
      <c r="D261" s="100" t="s">
        <v>58</v>
      </c>
      <c r="E261" s="101">
        <v>15.114</v>
      </c>
      <c r="F261" s="101"/>
      <c r="G261" s="101"/>
      <c r="H261" s="101"/>
      <c r="I261" s="27">
        <f t="shared" si="125"/>
        <v>0</v>
      </c>
      <c r="J261" s="28">
        <f t="shared" si="126"/>
        <v>0</v>
      </c>
      <c r="K261" s="29">
        <f t="shared" si="127"/>
        <v>0</v>
      </c>
      <c r="L261" s="96"/>
    </row>
    <row r="262" s="86" customFormat="1" ht="60" customHeight="1" outlineLevel="2" spans="1:12">
      <c r="A262" s="103">
        <f t="shared" si="124"/>
        <v>3</v>
      </c>
      <c r="B262" s="98" t="s">
        <v>221</v>
      </c>
      <c r="C262" s="99" t="s">
        <v>220</v>
      </c>
      <c r="D262" s="100" t="s">
        <v>58</v>
      </c>
      <c r="E262" s="101">
        <v>4.929</v>
      </c>
      <c r="F262" s="101"/>
      <c r="G262" s="101"/>
      <c r="H262" s="101"/>
      <c r="I262" s="27">
        <f t="shared" si="125"/>
        <v>0</v>
      </c>
      <c r="J262" s="28">
        <f t="shared" si="126"/>
        <v>0</v>
      </c>
      <c r="K262" s="29">
        <f t="shared" si="127"/>
        <v>0</v>
      </c>
      <c r="L262" s="96"/>
    </row>
    <row r="263" s="86" customFormat="1" ht="72" outlineLevel="2" spans="1:12">
      <c r="A263" s="103">
        <f t="shared" si="124"/>
        <v>4</v>
      </c>
      <c r="B263" s="107" t="s">
        <v>223</v>
      </c>
      <c r="C263" s="99" t="s">
        <v>224</v>
      </c>
      <c r="D263" s="100" t="s">
        <v>58</v>
      </c>
      <c r="E263" s="101">
        <v>29.297</v>
      </c>
      <c r="F263" s="101"/>
      <c r="G263" s="101"/>
      <c r="H263" s="101"/>
      <c r="I263" s="27">
        <f t="shared" si="125"/>
        <v>0</v>
      </c>
      <c r="J263" s="28">
        <f t="shared" si="126"/>
        <v>0</v>
      </c>
      <c r="K263" s="29">
        <f t="shared" si="127"/>
        <v>0</v>
      </c>
      <c r="L263" s="96"/>
    </row>
    <row r="264" s="86" customFormat="1" ht="48" outlineLevel="2" spans="1:12">
      <c r="A264" s="103">
        <f t="shared" si="124"/>
        <v>5</v>
      </c>
      <c r="B264" s="105" t="s">
        <v>77</v>
      </c>
      <c r="C264" s="106" t="s">
        <v>78</v>
      </c>
      <c r="D264" s="105" t="s">
        <v>58</v>
      </c>
      <c r="E264" s="101">
        <v>11.045</v>
      </c>
      <c r="F264" s="101"/>
      <c r="G264" s="101"/>
      <c r="H264" s="101"/>
      <c r="I264" s="27">
        <f t="shared" si="125"/>
        <v>0</v>
      </c>
      <c r="J264" s="28">
        <f t="shared" si="126"/>
        <v>0</v>
      </c>
      <c r="K264" s="29">
        <f t="shared" si="127"/>
        <v>0</v>
      </c>
      <c r="L264" s="96"/>
    </row>
    <row r="265" s="86" customFormat="1" ht="48" outlineLevel="2" spans="1:12">
      <c r="A265" s="103">
        <f t="shared" si="124"/>
        <v>6</v>
      </c>
      <c r="B265" s="105" t="s">
        <v>79</v>
      </c>
      <c r="C265" s="106" t="s">
        <v>78</v>
      </c>
      <c r="D265" s="105" t="s">
        <v>58</v>
      </c>
      <c r="E265" s="101">
        <f>0.34*2.5*2*2</f>
        <v>3.4</v>
      </c>
      <c r="F265" s="101"/>
      <c r="G265" s="101"/>
      <c r="H265" s="101"/>
      <c r="I265" s="27">
        <f t="shared" si="125"/>
        <v>0</v>
      </c>
      <c r="J265" s="28">
        <f t="shared" si="126"/>
        <v>0</v>
      </c>
      <c r="K265" s="29">
        <f t="shared" si="127"/>
        <v>0</v>
      </c>
      <c r="L265" s="96"/>
    </row>
    <row r="266" s="86" customFormat="1" ht="60" outlineLevel="2" spans="1:12">
      <c r="A266" s="103">
        <f t="shared" si="124"/>
        <v>7</v>
      </c>
      <c r="B266" s="105" t="s">
        <v>80</v>
      </c>
      <c r="C266" s="106" t="s">
        <v>81</v>
      </c>
      <c r="D266" s="105" t="s">
        <v>58</v>
      </c>
      <c r="E266" s="101">
        <f>+(0.061+0.22+0.114+0.074)*0.95*2</f>
        <v>0.8911</v>
      </c>
      <c r="F266" s="101"/>
      <c r="G266" s="101"/>
      <c r="H266" s="101"/>
      <c r="I266" s="27">
        <f t="shared" si="125"/>
        <v>0</v>
      </c>
      <c r="J266" s="28">
        <f t="shared" si="126"/>
        <v>0</v>
      </c>
      <c r="K266" s="29">
        <f t="shared" si="127"/>
        <v>0</v>
      </c>
      <c r="L266" s="96"/>
    </row>
    <row r="267" s="86" customFormat="1" ht="48" outlineLevel="2" spans="1:12">
      <c r="A267" s="103">
        <f t="shared" si="124"/>
        <v>8</v>
      </c>
      <c r="B267" s="105" t="s">
        <v>82</v>
      </c>
      <c r="C267" s="106" t="s">
        <v>83</v>
      </c>
      <c r="D267" s="105" t="s">
        <v>58</v>
      </c>
      <c r="E267" s="101">
        <v>0.253</v>
      </c>
      <c r="F267" s="101"/>
      <c r="G267" s="101"/>
      <c r="H267" s="101"/>
      <c r="I267" s="27">
        <f t="shared" si="125"/>
        <v>0</v>
      </c>
      <c r="J267" s="28">
        <f t="shared" si="126"/>
        <v>0</v>
      </c>
      <c r="K267" s="29">
        <f t="shared" si="127"/>
        <v>0</v>
      </c>
      <c r="L267" s="96"/>
    </row>
    <row r="268" s="86" customFormat="1" ht="48" outlineLevel="2" spans="1:12">
      <c r="A268" s="103">
        <f t="shared" si="124"/>
        <v>9</v>
      </c>
      <c r="B268" s="105" t="s">
        <v>86</v>
      </c>
      <c r="C268" s="106" t="s">
        <v>87</v>
      </c>
      <c r="D268" s="105" t="s">
        <v>65</v>
      </c>
      <c r="E268" s="101">
        <v>13.6</v>
      </c>
      <c r="F268" s="101"/>
      <c r="G268" s="101"/>
      <c r="H268" s="101"/>
      <c r="I268" s="27">
        <f t="shared" si="125"/>
        <v>0</v>
      </c>
      <c r="J268" s="28">
        <f t="shared" si="126"/>
        <v>0</v>
      </c>
      <c r="K268" s="29">
        <f t="shared" si="127"/>
        <v>0</v>
      </c>
      <c r="L268" s="96"/>
    </row>
    <row r="269" s="86" customFormat="1" ht="36" outlineLevel="2" spans="1:12">
      <c r="A269" s="103">
        <f t="shared" si="124"/>
        <v>10</v>
      </c>
      <c r="B269" s="105" t="s">
        <v>514</v>
      </c>
      <c r="C269" s="106" t="s">
        <v>515</v>
      </c>
      <c r="D269" s="105" t="s">
        <v>65</v>
      </c>
      <c r="E269" s="101">
        <v>4.251</v>
      </c>
      <c r="F269" s="101"/>
      <c r="G269" s="101"/>
      <c r="H269" s="101"/>
      <c r="I269" s="27">
        <f t="shared" si="125"/>
        <v>0</v>
      </c>
      <c r="J269" s="28">
        <f t="shared" si="126"/>
        <v>0</v>
      </c>
      <c r="K269" s="29">
        <f t="shared" si="127"/>
        <v>0</v>
      </c>
      <c r="L269" s="96"/>
    </row>
    <row r="270" s="86" customFormat="1" ht="48" outlineLevel="2" spans="1:12">
      <c r="A270" s="103">
        <f t="shared" si="124"/>
        <v>11</v>
      </c>
      <c r="B270" s="105" t="s">
        <v>92</v>
      </c>
      <c r="C270" s="106" t="s">
        <v>93</v>
      </c>
      <c r="D270" s="105" t="s">
        <v>65</v>
      </c>
      <c r="E270" s="101">
        <v>5.602</v>
      </c>
      <c r="F270" s="101"/>
      <c r="G270" s="101"/>
      <c r="H270" s="101"/>
      <c r="I270" s="27">
        <f t="shared" si="125"/>
        <v>0</v>
      </c>
      <c r="J270" s="28">
        <f t="shared" si="126"/>
        <v>0</v>
      </c>
      <c r="K270" s="29">
        <f t="shared" si="127"/>
        <v>0</v>
      </c>
      <c r="L270" s="96"/>
    </row>
    <row r="271" s="86" customFormat="1" ht="48" outlineLevel="2" spans="1:12">
      <c r="A271" s="103">
        <f t="shared" si="124"/>
        <v>12</v>
      </c>
      <c r="B271" s="105" t="s">
        <v>94</v>
      </c>
      <c r="C271" s="106" t="s">
        <v>95</v>
      </c>
      <c r="D271" s="105" t="s">
        <v>65</v>
      </c>
      <c r="E271" s="101">
        <v>15.988</v>
      </c>
      <c r="F271" s="101"/>
      <c r="G271" s="101"/>
      <c r="H271" s="101"/>
      <c r="I271" s="27">
        <f t="shared" si="125"/>
        <v>0</v>
      </c>
      <c r="J271" s="28">
        <f t="shared" si="126"/>
        <v>0</v>
      </c>
      <c r="K271" s="29">
        <f t="shared" si="127"/>
        <v>0</v>
      </c>
      <c r="L271" s="96"/>
    </row>
    <row r="272" s="86" customFormat="1" ht="24" customHeight="1" outlineLevel="1" spans="1:12">
      <c r="A272" s="97"/>
      <c r="B272" s="98" t="s">
        <v>96</v>
      </c>
      <c r="C272" s="99"/>
      <c r="D272" s="100"/>
      <c r="E272" s="101"/>
      <c r="F272" s="101"/>
      <c r="G272" s="101"/>
      <c r="H272" s="101"/>
      <c r="I272" s="101"/>
      <c r="J272" s="101"/>
      <c r="K272" s="102"/>
      <c r="L272" s="96"/>
    </row>
    <row r="273" s="86" customFormat="1" ht="96" outlineLevel="2" spans="1:16">
      <c r="A273" s="103">
        <f t="shared" ref="A273:A277" si="128">1+N(A272)</f>
        <v>1</v>
      </c>
      <c r="B273" s="98" t="s">
        <v>455</v>
      </c>
      <c r="C273" s="108" t="s">
        <v>98</v>
      </c>
      <c r="D273" s="100" t="s">
        <v>58</v>
      </c>
      <c r="E273" s="101">
        <v>13.81</v>
      </c>
      <c r="F273" s="101"/>
      <c r="G273" s="101"/>
      <c r="H273" s="101"/>
      <c r="I273" s="27">
        <f t="shared" ref="I273:I277" si="129">(F273+G273+H273)*$I$3</f>
        <v>0</v>
      </c>
      <c r="J273" s="28">
        <f t="shared" ref="J273:J277" si="130">ROUND(SUM(F273:I273),2)</f>
        <v>0</v>
      </c>
      <c r="K273" s="29">
        <f t="shared" ref="K273:K277" si="131">ROUND(J273*E273,2)</f>
        <v>0</v>
      </c>
      <c r="L273" s="96"/>
    </row>
    <row r="274" s="86" customFormat="1" ht="72" customHeight="1" outlineLevel="2" spans="1:16">
      <c r="A274" s="103">
        <f t="shared" si="128"/>
        <v>2</v>
      </c>
      <c r="B274" s="98" t="s">
        <v>99</v>
      </c>
      <c r="C274" s="108" t="s">
        <v>100</v>
      </c>
      <c r="D274" s="100" t="s">
        <v>65</v>
      </c>
      <c r="E274" s="101">
        <v>10.483</v>
      </c>
      <c r="F274" s="101"/>
      <c r="G274" s="101"/>
      <c r="H274" s="101"/>
      <c r="I274" s="27">
        <f t="shared" si="129"/>
        <v>0</v>
      </c>
      <c r="J274" s="28">
        <f t="shared" si="130"/>
        <v>0</v>
      </c>
      <c r="K274" s="29">
        <f t="shared" si="131"/>
        <v>0</v>
      </c>
      <c r="L274" s="96"/>
    </row>
    <row r="275" s="86" customFormat="1" ht="72" customHeight="1" outlineLevel="2" spans="1:16">
      <c r="A275" s="103">
        <f t="shared" si="128"/>
        <v>3</v>
      </c>
      <c r="B275" s="98" t="s">
        <v>101</v>
      </c>
      <c r="C275" s="99" t="s">
        <v>102</v>
      </c>
      <c r="D275" s="100" t="s">
        <v>65</v>
      </c>
      <c r="E275" s="101">
        <v>10.483</v>
      </c>
      <c r="F275" s="101"/>
      <c r="G275" s="101"/>
      <c r="H275" s="101"/>
      <c r="I275" s="27">
        <f t="shared" si="129"/>
        <v>0</v>
      </c>
      <c r="J275" s="28">
        <f t="shared" si="130"/>
        <v>0</v>
      </c>
      <c r="K275" s="29">
        <f t="shared" si="131"/>
        <v>0</v>
      </c>
      <c r="L275" s="96"/>
    </row>
    <row r="276" s="86" customFormat="1" ht="72" customHeight="1" outlineLevel="2" spans="1:16">
      <c r="A276" s="103">
        <f t="shared" si="128"/>
        <v>4</v>
      </c>
      <c r="B276" s="98" t="s">
        <v>103</v>
      </c>
      <c r="C276" s="99" t="s">
        <v>104</v>
      </c>
      <c r="D276" s="100" t="s">
        <v>65</v>
      </c>
      <c r="E276" s="101">
        <f>2.37*2</f>
        <v>4.74</v>
      </c>
      <c r="F276" s="101"/>
      <c r="G276" s="101"/>
      <c r="H276" s="101"/>
      <c r="I276" s="27">
        <f t="shared" si="129"/>
        <v>0</v>
      </c>
      <c r="J276" s="28">
        <f t="shared" si="130"/>
        <v>0</v>
      </c>
      <c r="K276" s="29">
        <f t="shared" si="131"/>
        <v>0</v>
      </c>
      <c r="L276" s="96"/>
    </row>
    <row r="277" s="86" customFormat="1" ht="72" customHeight="1" outlineLevel="2" spans="1:16">
      <c r="A277" s="103">
        <f t="shared" si="128"/>
        <v>5</v>
      </c>
      <c r="B277" s="98" t="s">
        <v>105</v>
      </c>
      <c r="C277" s="99" t="s">
        <v>106</v>
      </c>
      <c r="D277" s="100" t="s">
        <v>58</v>
      </c>
      <c r="E277" s="101">
        <v>17.393</v>
      </c>
      <c r="F277" s="101"/>
      <c r="G277" s="101"/>
      <c r="H277" s="101"/>
      <c r="I277" s="27">
        <f t="shared" si="129"/>
        <v>0</v>
      </c>
      <c r="J277" s="28">
        <f t="shared" si="130"/>
        <v>0</v>
      </c>
      <c r="K277" s="29">
        <f t="shared" si="131"/>
        <v>0</v>
      </c>
      <c r="L277" s="96"/>
    </row>
    <row r="278" s="86" customFormat="1" ht="24" customHeight="1" outlineLevel="1" spans="1:16">
      <c r="A278" s="97"/>
      <c r="B278" s="98" t="s">
        <v>107</v>
      </c>
      <c r="C278" s="99"/>
      <c r="D278" s="100"/>
      <c r="E278" s="101"/>
      <c r="F278" s="101"/>
      <c r="G278" s="101"/>
      <c r="H278" s="101"/>
      <c r="I278" s="101"/>
      <c r="J278" s="101"/>
      <c r="K278" s="102"/>
      <c r="L278" s="96"/>
    </row>
    <row r="279" s="86" customFormat="1" ht="24" customHeight="1" outlineLevel="1" spans="1:16">
      <c r="A279" s="92" t="s">
        <v>134</v>
      </c>
      <c r="B279" s="93" t="s">
        <v>520</v>
      </c>
      <c r="C279" s="93"/>
      <c r="D279" s="94"/>
      <c r="E279" s="95"/>
      <c r="F279" s="95"/>
      <c r="G279" s="95"/>
      <c r="H279" s="95"/>
      <c r="I279" s="95"/>
      <c r="J279" s="95"/>
      <c r="K279" s="23"/>
      <c r="L279" s="96"/>
    </row>
    <row r="280" s="86" customFormat="1" ht="24" customHeight="1" outlineLevel="1" spans="1:16">
      <c r="A280" s="97"/>
      <c r="B280" s="98" t="s">
        <v>55</v>
      </c>
      <c r="C280" s="99"/>
      <c r="D280" s="100"/>
      <c r="E280" s="101"/>
      <c r="F280" s="101"/>
      <c r="G280" s="101"/>
      <c r="H280" s="101"/>
      <c r="I280" s="101"/>
      <c r="J280" s="101"/>
      <c r="K280" s="102"/>
      <c r="L280" s="96"/>
    </row>
    <row r="281" s="86" customFormat="1" ht="96" outlineLevel="2" spans="1:16">
      <c r="A281" s="103">
        <f t="shared" ref="A281:A284" si="132">1+N(A280)</f>
        <v>1</v>
      </c>
      <c r="B281" s="98" t="s">
        <v>56</v>
      </c>
      <c r="C281" s="99" t="s">
        <v>57</v>
      </c>
      <c r="D281" s="100" t="s">
        <v>58</v>
      </c>
      <c r="E281" s="101">
        <v>3.855</v>
      </c>
      <c r="F281" s="101"/>
      <c r="G281" s="101"/>
      <c r="H281" s="27"/>
      <c r="I281" s="27">
        <f t="shared" ref="I281:I284" si="133">(F281+G281+H281)*$I$3</f>
        <v>0</v>
      </c>
      <c r="J281" s="28">
        <f t="shared" ref="J281:J284" si="134">ROUND(SUM(F281:I281),2)</f>
        <v>0</v>
      </c>
      <c r="K281" s="29">
        <f t="shared" ref="K281:K284" si="135">ROUND(J281*E281,2)</f>
        <v>0</v>
      </c>
      <c r="L281" s="96"/>
      <c r="P281" s="86">
        <v>3</v>
      </c>
    </row>
    <row r="282" s="86" customFormat="1" ht="108" outlineLevel="2" spans="1:16">
      <c r="A282" s="103">
        <f t="shared" si="132"/>
        <v>2</v>
      </c>
      <c r="B282" s="98" t="s">
        <v>59</v>
      </c>
      <c r="C282" s="99" t="s">
        <v>60</v>
      </c>
      <c r="D282" s="100" t="s">
        <v>58</v>
      </c>
      <c r="E282" s="101">
        <v>12.299</v>
      </c>
      <c r="F282" s="101"/>
      <c r="G282" s="101"/>
      <c r="H282" s="101"/>
      <c r="I282" s="27">
        <f t="shared" si="133"/>
        <v>0</v>
      </c>
      <c r="J282" s="28">
        <f t="shared" si="134"/>
        <v>0</v>
      </c>
      <c r="K282" s="29">
        <f t="shared" si="135"/>
        <v>0</v>
      </c>
      <c r="L282" s="96"/>
      <c r="P282" s="86">
        <v>3</v>
      </c>
    </row>
    <row r="283" s="86" customFormat="1" ht="36" outlineLevel="2" spans="1:16">
      <c r="A283" s="103">
        <f t="shared" si="132"/>
        <v>3</v>
      </c>
      <c r="B283" s="98" t="s">
        <v>63</v>
      </c>
      <c r="C283" s="99" t="s">
        <v>64</v>
      </c>
      <c r="D283" s="100" t="s">
        <v>65</v>
      </c>
      <c r="E283" s="101">
        <v>14.006</v>
      </c>
      <c r="F283" s="101"/>
      <c r="G283" s="101"/>
      <c r="H283" s="101"/>
      <c r="I283" s="27">
        <f t="shared" si="133"/>
        <v>0</v>
      </c>
      <c r="J283" s="28">
        <f t="shared" si="134"/>
        <v>0</v>
      </c>
      <c r="K283" s="29">
        <f t="shared" si="135"/>
        <v>0</v>
      </c>
      <c r="L283" s="96"/>
    </row>
    <row r="284" s="86" customFormat="1" ht="48" outlineLevel="2" spans="1:16">
      <c r="A284" s="103">
        <f t="shared" si="132"/>
        <v>4</v>
      </c>
      <c r="B284" s="98" t="s">
        <v>66</v>
      </c>
      <c r="C284" s="99" t="s">
        <v>67</v>
      </c>
      <c r="D284" s="100" t="s">
        <v>58</v>
      </c>
      <c r="E284" s="101">
        <f>+E281+E282</f>
        <v>16.154</v>
      </c>
      <c r="F284" s="101"/>
      <c r="G284" s="101"/>
      <c r="H284" s="101"/>
      <c r="I284" s="27">
        <f t="shared" si="133"/>
        <v>0</v>
      </c>
      <c r="J284" s="28">
        <f t="shared" si="134"/>
        <v>0</v>
      </c>
      <c r="K284" s="29">
        <f t="shared" si="135"/>
        <v>0</v>
      </c>
      <c r="L284" s="96"/>
    </row>
    <row r="285" s="86" customFormat="1" ht="24" customHeight="1" outlineLevel="1" spans="1:16">
      <c r="A285" s="97"/>
      <c r="B285" s="98" t="s">
        <v>489</v>
      </c>
      <c r="C285" s="99"/>
      <c r="D285" s="100"/>
      <c r="E285" s="101"/>
      <c r="F285" s="101"/>
      <c r="G285" s="101"/>
      <c r="H285" s="101"/>
      <c r="I285" s="101"/>
      <c r="J285" s="101"/>
      <c r="K285" s="102"/>
      <c r="L285" s="96"/>
    </row>
    <row r="286" s="86" customFormat="1" ht="72" outlineLevel="2" spans="1:16">
      <c r="A286" s="103">
        <f t="shared" ref="A286:A294" si="136">1+N(A285)</f>
        <v>1</v>
      </c>
      <c r="B286" s="104" t="s">
        <v>69</v>
      </c>
      <c r="C286" s="99" t="s">
        <v>70</v>
      </c>
      <c r="D286" s="100" t="s">
        <v>58</v>
      </c>
      <c r="E286" s="101">
        <v>6.053</v>
      </c>
      <c r="F286" s="101"/>
      <c r="G286" s="101"/>
      <c r="H286" s="101"/>
      <c r="I286" s="27">
        <f t="shared" ref="I286:I294" si="137">(F286+G286+H286)*$I$3</f>
        <v>0</v>
      </c>
      <c r="J286" s="28">
        <f t="shared" ref="J286:J294" si="138">ROUND(SUM(F286:I286),2)</f>
        <v>0</v>
      </c>
      <c r="K286" s="29">
        <f t="shared" ref="K286:K294" si="139">ROUND(J286*E286,2)</f>
        <v>0</v>
      </c>
      <c r="L286" s="96"/>
    </row>
    <row r="287" s="86" customFormat="1" ht="96" outlineLevel="2" spans="1:16">
      <c r="A287" s="103">
        <f t="shared" si="136"/>
        <v>2</v>
      </c>
      <c r="B287" s="105" t="s">
        <v>71</v>
      </c>
      <c r="C287" s="106" t="s">
        <v>72</v>
      </c>
      <c r="D287" s="100" t="s">
        <v>58</v>
      </c>
      <c r="E287" s="101">
        <v>24.327</v>
      </c>
      <c r="F287" s="101"/>
      <c r="G287" s="101"/>
      <c r="H287" s="101"/>
      <c r="I287" s="27">
        <f t="shared" si="137"/>
        <v>0</v>
      </c>
      <c r="J287" s="28">
        <f t="shared" si="138"/>
        <v>0</v>
      </c>
      <c r="K287" s="29">
        <f t="shared" si="139"/>
        <v>0</v>
      </c>
      <c r="L287" s="96"/>
    </row>
    <row r="288" s="86" customFormat="1" ht="60" customHeight="1" outlineLevel="2" spans="1:16">
      <c r="A288" s="103">
        <f t="shared" si="136"/>
        <v>3</v>
      </c>
      <c r="B288" s="98" t="s">
        <v>221</v>
      </c>
      <c r="C288" s="99" t="s">
        <v>220</v>
      </c>
      <c r="D288" s="100" t="s">
        <v>58</v>
      </c>
      <c r="E288" s="101">
        <v>1.901</v>
      </c>
      <c r="F288" s="101"/>
      <c r="G288" s="101"/>
      <c r="H288" s="101"/>
      <c r="I288" s="27">
        <f t="shared" si="137"/>
        <v>0</v>
      </c>
      <c r="J288" s="28">
        <f t="shared" si="138"/>
        <v>0</v>
      </c>
      <c r="K288" s="29">
        <f t="shared" si="139"/>
        <v>0</v>
      </c>
      <c r="L288" s="96"/>
    </row>
    <row r="289" s="86" customFormat="1" ht="48" outlineLevel="2" spans="1:12">
      <c r="A289" s="103">
        <f t="shared" si="136"/>
        <v>4</v>
      </c>
      <c r="B289" s="105" t="s">
        <v>79</v>
      </c>
      <c r="C289" s="106" t="s">
        <v>78</v>
      </c>
      <c r="D289" s="105" t="s">
        <v>58</v>
      </c>
      <c r="E289" s="101">
        <f>0.34*2.5*2*2</f>
        <v>3.4</v>
      </c>
      <c r="F289" s="101"/>
      <c r="G289" s="101"/>
      <c r="H289" s="101"/>
      <c r="I289" s="27">
        <f t="shared" si="137"/>
        <v>0</v>
      </c>
      <c r="J289" s="28">
        <f t="shared" si="138"/>
        <v>0</v>
      </c>
      <c r="K289" s="29">
        <f t="shared" si="139"/>
        <v>0</v>
      </c>
      <c r="L289" s="96"/>
    </row>
    <row r="290" s="86" customFormat="1" ht="60" outlineLevel="2" spans="1:12">
      <c r="A290" s="103">
        <f t="shared" si="136"/>
        <v>5</v>
      </c>
      <c r="B290" s="105" t="s">
        <v>80</v>
      </c>
      <c r="C290" s="106" t="s">
        <v>81</v>
      </c>
      <c r="D290" s="105" t="s">
        <v>58</v>
      </c>
      <c r="E290" s="101">
        <f>+(0.061+0.22+0.114+0.074)*0.95*2</f>
        <v>0.8911</v>
      </c>
      <c r="F290" s="101"/>
      <c r="G290" s="101"/>
      <c r="H290" s="101"/>
      <c r="I290" s="27">
        <f t="shared" si="137"/>
        <v>0</v>
      </c>
      <c r="J290" s="28">
        <f t="shared" si="138"/>
        <v>0</v>
      </c>
      <c r="K290" s="29">
        <f t="shared" si="139"/>
        <v>0</v>
      </c>
      <c r="L290" s="96"/>
    </row>
    <row r="291" s="86" customFormat="1" ht="48" outlineLevel="2" spans="1:12">
      <c r="A291" s="103">
        <f t="shared" si="136"/>
        <v>6</v>
      </c>
      <c r="B291" s="105" t="s">
        <v>82</v>
      </c>
      <c r="C291" s="106" t="s">
        <v>83</v>
      </c>
      <c r="D291" s="105" t="s">
        <v>58</v>
      </c>
      <c r="E291" s="101">
        <v>0.253</v>
      </c>
      <c r="F291" s="101"/>
      <c r="G291" s="101"/>
      <c r="H291" s="101"/>
      <c r="I291" s="27">
        <f t="shared" si="137"/>
        <v>0</v>
      </c>
      <c r="J291" s="28">
        <f t="shared" si="138"/>
        <v>0</v>
      </c>
      <c r="K291" s="29">
        <f t="shared" si="139"/>
        <v>0</v>
      </c>
      <c r="L291" s="96"/>
    </row>
    <row r="292" s="86" customFormat="1" ht="48" outlineLevel="2" spans="1:12">
      <c r="A292" s="103">
        <f t="shared" si="136"/>
        <v>7</v>
      </c>
      <c r="B292" s="105" t="s">
        <v>86</v>
      </c>
      <c r="C292" s="106" t="s">
        <v>87</v>
      </c>
      <c r="D292" s="105" t="s">
        <v>65</v>
      </c>
      <c r="E292" s="101">
        <v>13.264</v>
      </c>
      <c r="F292" s="101"/>
      <c r="G292" s="101"/>
      <c r="H292" s="101"/>
      <c r="I292" s="27">
        <f t="shared" si="137"/>
        <v>0</v>
      </c>
      <c r="J292" s="28">
        <f t="shared" si="138"/>
        <v>0</v>
      </c>
      <c r="K292" s="29">
        <f t="shared" si="139"/>
        <v>0</v>
      </c>
      <c r="L292" s="96"/>
    </row>
    <row r="293" s="86" customFormat="1" ht="48" outlineLevel="2" spans="1:12">
      <c r="A293" s="103">
        <f t="shared" si="136"/>
        <v>8</v>
      </c>
      <c r="B293" s="105" t="s">
        <v>92</v>
      </c>
      <c r="C293" s="106" t="s">
        <v>93</v>
      </c>
      <c r="D293" s="105" t="s">
        <v>65</v>
      </c>
      <c r="E293" s="101">
        <v>10.71</v>
      </c>
      <c r="F293" s="101"/>
      <c r="G293" s="101"/>
      <c r="H293" s="101"/>
      <c r="I293" s="27">
        <f t="shared" si="137"/>
        <v>0</v>
      </c>
      <c r="J293" s="28">
        <f t="shared" si="138"/>
        <v>0</v>
      </c>
      <c r="K293" s="29">
        <f t="shared" si="139"/>
        <v>0</v>
      </c>
      <c r="L293" s="96"/>
    </row>
    <row r="294" s="86" customFormat="1" ht="48" outlineLevel="2" spans="1:12">
      <c r="A294" s="103">
        <f t="shared" si="136"/>
        <v>9</v>
      </c>
      <c r="B294" s="105" t="s">
        <v>94</v>
      </c>
      <c r="C294" s="106" t="s">
        <v>95</v>
      </c>
      <c r="D294" s="105" t="s">
        <v>65</v>
      </c>
      <c r="E294" s="101">
        <v>15.293</v>
      </c>
      <c r="F294" s="101"/>
      <c r="G294" s="101"/>
      <c r="H294" s="101"/>
      <c r="I294" s="27">
        <f t="shared" si="137"/>
        <v>0</v>
      </c>
      <c r="J294" s="28">
        <f t="shared" si="138"/>
        <v>0</v>
      </c>
      <c r="K294" s="29">
        <f t="shared" si="139"/>
        <v>0</v>
      </c>
      <c r="L294" s="96"/>
    </row>
    <row r="295" s="86" customFormat="1" ht="24" customHeight="1" outlineLevel="1" spans="1:12">
      <c r="A295" s="97"/>
      <c r="B295" s="98" t="s">
        <v>96</v>
      </c>
      <c r="C295" s="99"/>
      <c r="D295" s="100"/>
      <c r="E295" s="101"/>
      <c r="F295" s="101"/>
      <c r="G295" s="101"/>
      <c r="H295" s="101"/>
      <c r="I295" s="101"/>
      <c r="J295" s="101"/>
      <c r="K295" s="102"/>
      <c r="L295" s="96"/>
    </row>
    <row r="296" s="86" customFormat="1" ht="96" outlineLevel="2" spans="1:12">
      <c r="A296" s="103">
        <f t="shared" ref="A296:A300" si="140">1+N(A295)</f>
        <v>1</v>
      </c>
      <c r="B296" s="98" t="s">
        <v>455</v>
      </c>
      <c r="C296" s="108" t="s">
        <v>98</v>
      </c>
      <c r="D296" s="100" t="s">
        <v>58</v>
      </c>
      <c r="E296" s="101">
        <v>16.922</v>
      </c>
      <c r="F296" s="101"/>
      <c r="G296" s="101"/>
      <c r="H296" s="101"/>
      <c r="I296" s="27">
        <f t="shared" ref="I296:I300" si="141">(F296+G296+H296)*$I$3</f>
        <v>0</v>
      </c>
      <c r="J296" s="28">
        <f t="shared" ref="J296:J300" si="142">ROUND(SUM(F296:I296),2)</f>
        <v>0</v>
      </c>
      <c r="K296" s="29">
        <f t="shared" ref="K296:K300" si="143">ROUND(J296*E296,2)</f>
        <v>0</v>
      </c>
      <c r="L296" s="96"/>
    </row>
    <row r="297" s="86" customFormat="1" ht="72" customHeight="1" outlineLevel="2" spans="1:12">
      <c r="A297" s="103">
        <f t="shared" si="140"/>
        <v>2</v>
      </c>
      <c r="B297" s="98" t="s">
        <v>99</v>
      </c>
      <c r="C297" s="108" t="s">
        <v>100</v>
      </c>
      <c r="D297" s="100" t="s">
        <v>65</v>
      </c>
      <c r="E297" s="101">
        <v>14.022</v>
      </c>
      <c r="F297" s="101"/>
      <c r="G297" s="101"/>
      <c r="H297" s="101"/>
      <c r="I297" s="27">
        <f t="shared" si="141"/>
        <v>0</v>
      </c>
      <c r="J297" s="28">
        <f t="shared" si="142"/>
        <v>0</v>
      </c>
      <c r="K297" s="29">
        <f t="shared" si="143"/>
        <v>0</v>
      </c>
      <c r="L297" s="96"/>
    </row>
    <row r="298" s="86" customFormat="1" ht="72" customHeight="1" outlineLevel="2" spans="1:12">
      <c r="A298" s="103">
        <f t="shared" si="140"/>
        <v>3</v>
      </c>
      <c r="B298" s="98" t="s">
        <v>101</v>
      </c>
      <c r="C298" s="99" t="s">
        <v>102</v>
      </c>
      <c r="D298" s="100" t="s">
        <v>65</v>
      </c>
      <c r="E298" s="101">
        <v>14.022</v>
      </c>
      <c r="F298" s="101"/>
      <c r="G298" s="101"/>
      <c r="H298" s="101"/>
      <c r="I298" s="27">
        <f t="shared" si="141"/>
        <v>0</v>
      </c>
      <c r="J298" s="28">
        <f t="shared" si="142"/>
        <v>0</v>
      </c>
      <c r="K298" s="29">
        <f t="shared" si="143"/>
        <v>0</v>
      </c>
      <c r="L298" s="96"/>
    </row>
    <row r="299" s="86" customFormat="1" ht="72" customHeight="1" outlineLevel="2" spans="1:12">
      <c r="A299" s="103">
        <f t="shared" si="140"/>
        <v>4</v>
      </c>
      <c r="B299" s="98" t="s">
        <v>103</v>
      </c>
      <c r="C299" s="99" t="s">
        <v>104</v>
      </c>
      <c r="D299" s="100" t="s">
        <v>65</v>
      </c>
      <c r="E299" s="101">
        <f>4.42*2</f>
        <v>8.84</v>
      </c>
      <c r="F299" s="101"/>
      <c r="G299" s="101"/>
      <c r="H299" s="101"/>
      <c r="I299" s="27">
        <f t="shared" si="141"/>
        <v>0</v>
      </c>
      <c r="J299" s="28">
        <f t="shared" si="142"/>
        <v>0</v>
      </c>
      <c r="K299" s="29">
        <f t="shared" si="143"/>
        <v>0</v>
      </c>
      <c r="L299" s="96"/>
    </row>
    <row r="300" s="86" customFormat="1" ht="72" customHeight="1" outlineLevel="2" spans="1:12">
      <c r="A300" s="103">
        <f t="shared" si="140"/>
        <v>5</v>
      </c>
      <c r="B300" s="98" t="s">
        <v>105</v>
      </c>
      <c r="C300" s="99" t="s">
        <v>106</v>
      </c>
      <c r="D300" s="100" t="s">
        <v>58</v>
      </c>
      <c r="E300" s="101">
        <v>21.737</v>
      </c>
      <c r="F300" s="101"/>
      <c r="G300" s="101"/>
      <c r="H300" s="101"/>
      <c r="I300" s="27">
        <f t="shared" si="141"/>
        <v>0</v>
      </c>
      <c r="J300" s="28">
        <f t="shared" si="142"/>
        <v>0</v>
      </c>
      <c r="K300" s="29">
        <f t="shared" si="143"/>
        <v>0</v>
      </c>
      <c r="L300" s="96"/>
    </row>
    <row r="301" s="86" customFormat="1" ht="24" customHeight="1" outlineLevel="1" spans="1:12">
      <c r="A301" s="97"/>
      <c r="B301" s="98" t="s">
        <v>107</v>
      </c>
      <c r="C301" s="99"/>
      <c r="D301" s="100"/>
      <c r="E301" s="101"/>
      <c r="F301" s="101"/>
      <c r="G301" s="101"/>
      <c r="H301" s="101"/>
      <c r="I301" s="101"/>
      <c r="J301" s="101"/>
      <c r="K301" s="102"/>
      <c r="L301" s="96"/>
    </row>
    <row r="302" s="2" customFormat="1" ht="24" customHeight="1" spans="1:12">
      <c r="A302" s="21"/>
      <c r="B302" s="21" t="s">
        <v>488</v>
      </c>
      <c r="C302" s="21"/>
      <c r="D302" s="21"/>
      <c r="E302" s="109"/>
      <c r="F302" s="109"/>
      <c r="G302" s="109"/>
      <c r="H302" s="109"/>
      <c r="I302" s="109"/>
      <c r="J302" s="109"/>
      <c r="K302" s="23">
        <f>+K4+K105+K204</f>
        <v>0</v>
      </c>
      <c r="L302" s="96"/>
    </row>
  </sheetData>
  <autoFilter xmlns:etc="http://www.wps.cn/officeDocument/2017/etCustomData" ref="A2:P302" etc:filterBottomFollowUsedRange="0">
    <extLst/>
  </autoFilter>
  <mergeCells count="12">
    <mergeCell ref="A1:L1"/>
    <mergeCell ref="A2:A3"/>
    <mergeCell ref="B2:B3"/>
    <mergeCell ref="C2:C3"/>
    <mergeCell ref="D2:D3"/>
    <mergeCell ref="E2:E3"/>
    <mergeCell ref="F2:F3"/>
    <mergeCell ref="G2:G3"/>
    <mergeCell ref="H2:H3"/>
    <mergeCell ref="J2:J3"/>
    <mergeCell ref="K2:K3"/>
    <mergeCell ref="L2:L3"/>
  </mergeCells>
  <conditionalFormatting sqref="B5">
    <cfRule type="duplicateValues" dxfId="0" priority="214"/>
  </conditionalFormatting>
  <conditionalFormatting sqref="C5">
    <cfRule type="duplicateValues" dxfId="0" priority="213"/>
  </conditionalFormatting>
  <conditionalFormatting sqref="B6">
    <cfRule type="duplicateValues" dxfId="0" priority="218"/>
  </conditionalFormatting>
  <conditionalFormatting sqref="B7">
    <cfRule type="duplicateValues" dxfId="0" priority="212"/>
  </conditionalFormatting>
  <conditionalFormatting sqref="B8">
    <cfRule type="duplicateValues" dxfId="0" priority="210"/>
  </conditionalFormatting>
  <conditionalFormatting sqref="B9">
    <cfRule type="duplicateValues" dxfId="0" priority="209"/>
  </conditionalFormatting>
  <conditionalFormatting sqref="B10">
    <cfRule type="duplicateValues" dxfId="0" priority="211"/>
  </conditionalFormatting>
  <conditionalFormatting sqref="B11">
    <cfRule type="duplicateValues" dxfId="0" priority="217"/>
  </conditionalFormatting>
  <conditionalFormatting sqref="B14">
    <cfRule type="duplicateValues" dxfId="0" priority="204"/>
  </conditionalFormatting>
  <conditionalFormatting sqref="B15">
    <cfRule type="duplicateValues" dxfId="0" priority="203"/>
  </conditionalFormatting>
  <conditionalFormatting sqref="B16">
    <cfRule type="duplicateValues" dxfId="0" priority="205"/>
  </conditionalFormatting>
  <conditionalFormatting sqref="B19">
    <cfRule type="duplicateValues" dxfId="0" priority="206"/>
  </conditionalFormatting>
  <conditionalFormatting sqref="B20">
    <cfRule type="duplicateValues" dxfId="0" priority="207"/>
  </conditionalFormatting>
  <conditionalFormatting sqref="B24">
    <cfRule type="duplicateValues" dxfId="0" priority="216"/>
  </conditionalFormatting>
  <conditionalFormatting sqref="B25">
    <cfRule type="duplicateValues" dxfId="0" priority="201"/>
  </conditionalFormatting>
  <conditionalFormatting sqref="B26">
    <cfRule type="duplicateValues" dxfId="0" priority="200"/>
  </conditionalFormatting>
  <conditionalFormatting sqref="B30">
    <cfRule type="duplicateValues" dxfId="0" priority="215"/>
  </conditionalFormatting>
  <conditionalFormatting sqref="B31">
    <cfRule type="duplicateValues" dxfId="0" priority="195"/>
  </conditionalFormatting>
  <conditionalFormatting sqref="C31">
    <cfRule type="duplicateValues" dxfId="0" priority="194"/>
  </conditionalFormatting>
  <conditionalFormatting sqref="B32">
    <cfRule type="duplicateValues" dxfId="0" priority="199"/>
  </conditionalFormatting>
  <conditionalFormatting sqref="B33">
    <cfRule type="duplicateValues" dxfId="0" priority="193"/>
  </conditionalFormatting>
  <conditionalFormatting sqref="B34">
    <cfRule type="duplicateValues" dxfId="0" priority="191"/>
  </conditionalFormatting>
  <conditionalFormatting sqref="B35">
    <cfRule type="duplicateValues" dxfId="0" priority="190"/>
  </conditionalFormatting>
  <conditionalFormatting sqref="B36">
    <cfRule type="duplicateValues" dxfId="0" priority="192"/>
  </conditionalFormatting>
  <conditionalFormatting sqref="B37">
    <cfRule type="duplicateValues" dxfId="0" priority="198"/>
  </conditionalFormatting>
  <conditionalFormatting sqref="B40">
    <cfRule type="duplicateValues" dxfId="0" priority="185"/>
  </conditionalFormatting>
  <conditionalFormatting sqref="B41">
    <cfRule type="duplicateValues" dxfId="0" priority="186"/>
  </conditionalFormatting>
  <conditionalFormatting sqref="B44">
    <cfRule type="duplicateValues" dxfId="0" priority="187"/>
  </conditionalFormatting>
  <conditionalFormatting sqref="B45">
    <cfRule type="duplicateValues" dxfId="0" priority="188"/>
  </conditionalFormatting>
  <conditionalFormatting sqref="B49">
    <cfRule type="duplicateValues" dxfId="0" priority="197"/>
  </conditionalFormatting>
  <conditionalFormatting sqref="B50">
    <cfRule type="duplicateValues" dxfId="0" priority="183"/>
  </conditionalFormatting>
  <conditionalFormatting sqref="B51">
    <cfRule type="duplicateValues" dxfId="0" priority="182"/>
  </conditionalFormatting>
  <conditionalFormatting sqref="B55">
    <cfRule type="duplicateValues" dxfId="0" priority="196"/>
  </conditionalFormatting>
  <conditionalFormatting sqref="B56">
    <cfRule type="duplicateValues" dxfId="0" priority="177"/>
  </conditionalFormatting>
  <conditionalFormatting sqref="C56">
    <cfRule type="duplicateValues" dxfId="0" priority="176"/>
  </conditionalFormatting>
  <conditionalFormatting sqref="B57">
    <cfRule type="duplicateValues" dxfId="0" priority="181"/>
  </conditionalFormatting>
  <conditionalFormatting sqref="B58">
    <cfRule type="duplicateValues" dxfId="0" priority="175"/>
  </conditionalFormatting>
  <conditionalFormatting sqref="B59">
    <cfRule type="duplicateValues" dxfId="0" priority="173"/>
  </conditionalFormatting>
  <conditionalFormatting sqref="B60">
    <cfRule type="duplicateValues" dxfId="0" priority="172"/>
  </conditionalFormatting>
  <conditionalFormatting sqref="B61">
    <cfRule type="duplicateValues" dxfId="0" priority="174"/>
  </conditionalFormatting>
  <conditionalFormatting sqref="B62">
    <cfRule type="duplicateValues" dxfId="0" priority="180"/>
  </conditionalFormatting>
  <conditionalFormatting sqref="B65">
    <cfRule type="duplicateValues" dxfId="0" priority="167"/>
  </conditionalFormatting>
  <conditionalFormatting sqref="B66">
    <cfRule type="duplicateValues" dxfId="0" priority="166"/>
  </conditionalFormatting>
  <conditionalFormatting sqref="B67">
    <cfRule type="duplicateValues" dxfId="0" priority="168"/>
  </conditionalFormatting>
  <conditionalFormatting sqref="B70">
    <cfRule type="duplicateValues" dxfId="0" priority="169"/>
  </conditionalFormatting>
  <conditionalFormatting sqref="B71">
    <cfRule type="duplicateValues" dxfId="0" priority="170"/>
  </conditionalFormatting>
  <conditionalFormatting sqref="B75">
    <cfRule type="duplicateValues" dxfId="0" priority="179"/>
  </conditionalFormatting>
  <conditionalFormatting sqref="B76">
    <cfRule type="duplicateValues" dxfId="0" priority="164"/>
  </conditionalFormatting>
  <conditionalFormatting sqref="B77">
    <cfRule type="duplicateValues" dxfId="0" priority="163"/>
  </conditionalFormatting>
  <conditionalFormatting sqref="B81">
    <cfRule type="duplicateValues" dxfId="0" priority="178"/>
  </conditionalFormatting>
  <conditionalFormatting sqref="B82">
    <cfRule type="duplicateValues" dxfId="0" priority="158"/>
  </conditionalFormatting>
  <conditionalFormatting sqref="C82">
    <cfRule type="duplicateValues" dxfId="0" priority="157"/>
  </conditionalFormatting>
  <conditionalFormatting sqref="B83">
    <cfRule type="duplicateValues" dxfId="0" priority="162"/>
  </conditionalFormatting>
  <conditionalFormatting sqref="B84">
    <cfRule type="duplicateValues" dxfId="0" priority="156"/>
  </conditionalFormatting>
  <conditionalFormatting sqref="B85">
    <cfRule type="duplicateValues" dxfId="0" priority="154"/>
  </conditionalFormatting>
  <conditionalFormatting sqref="B86">
    <cfRule type="duplicateValues" dxfId="0" priority="153"/>
  </conditionalFormatting>
  <conditionalFormatting sqref="B87">
    <cfRule type="duplicateValues" dxfId="0" priority="155"/>
  </conditionalFormatting>
  <conditionalFormatting sqref="B88">
    <cfRule type="duplicateValues" dxfId="0" priority="161"/>
  </conditionalFormatting>
  <conditionalFormatting sqref="B91">
    <cfRule type="duplicateValues" dxfId="0" priority="149"/>
  </conditionalFormatting>
  <conditionalFormatting sqref="B94">
    <cfRule type="duplicateValues" dxfId="0" priority="150"/>
  </conditionalFormatting>
  <conditionalFormatting sqref="B95">
    <cfRule type="duplicateValues" dxfId="0" priority="151"/>
  </conditionalFormatting>
  <conditionalFormatting sqref="B98">
    <cfRule type="duplicateValues" dxfId="0" priority="160"/>
  </conditionalFormatting>
  <conditionalFormatting sqref="B99">
    <cfRule type="duplicateValues" dxfId="0" priority="147"/>
  </conditionalFormatting>
  <conditionalFormatting sqref="B100">
    <cfRule type="duplicateValues" dxfId="0" priority="146"/>
  </conditionalFormatting>
  <conditionalFormatting sqref="B104">
    <cfRule type="duplicateValues" dxfId="0" priority="159"/>
  </conditionalFormatting>
  <conditionalFormatting sqref="B105">
    <cfRule type="duplicateValues" dxfId="0" priority="145"/>
  </conditionalFormatting>
  <conditionalFormatting sqref="B106">
    <cfRule type="duplicateValues" dxfId="0" priority="140"/>
  </conditionalFormatting>
  <conditionalFormatting sqref="C106">
    <cfRule type="duplicateValues" dxfId="0" priority="139"/>
  </conditionalFormatting>
  <conditionalFormatting sqref="B107">
    <cfRule type="duplicateValues" dxfId="0" priority="144"/>
  </conditionalFormatting>
  <conditionalFormatting sqref="B108">
    <cfRule type="duplicateValues" dxfId="0" priority="138"/>
  </conditionalFormatting>
  <conditionalFormatting sqref="B109">
    <cfRule type="duplicateValues" dxfId="0" priority="136"/>
  </conditionalFormatting>
  <conditionalFormatting sqref="B110">
    <cfRule type="duplicateValues" dxfId="0" priority="135"/>
  </conditionalFormatting>
  <conditionalFormatting sqref="B111">
    <cfRule type="duplicateValues" dxfId="0" priority="137"/>
  </conditionalFormatting>
  <conditionalFormatting sqref="B112">
    <cfRule type="duplicateValues" dxfId="0" priority="143"/>
  </conditionalFormatting>
  <conditionalFormatting sqref="B115">
    <cfRule type="duplicateValues" dxfId="0" priority="130"/>
  </conditionalFormatting>
  <conditionalFormatting sqref="B116">
    <cfRule type="duplicateValues" dxfId="0" priority="129"/>
  </conditionalFormatting>
  <conditionalFormatting sqref="B117">
    <cfRule type="duplicateValues" dxfId="0" priority="131"/>
  </conditionalFormatting>
  <conditionalFormatting sqref="B120">
    <cfRule type="duplicateValues" dxfId="0" priority="132"/>
  </conditionalFormatting>
  <conditionalFormatting sqref="B121">
    <cfRule type="duplicateValues" dxfId="0" priority="133"/>
  </conditionalFormatting>
  <conditionalFormatting sqref="B125">
    <cfRule type="duplicateValues" dxfId="0" priority="142"/>
  </conditionalFormatting>
  <conditionalFormatting sqref="B126">
    <cfRule type="duplicateValues" dxfId="0" priority="127"/>
  </conditionalFormatting>
  <conditionalFormatting sqref="B127">
    <cfRule type="duplicateValues" dxfId="0" priority="73"/>
  </conditionalFormatting>
  <conditionalFormatting sqref="B131">
    <cfRule type="duplicateValues" dxfId="0" priority="141"/>
  </conditionalFormatting>
  <conditionalFormatting sqref="B132">
    <cfRule type="duplicateValues" dxfId="0" priority="122"/>
  </conditionalFormatting>
  <conditionalFormatting sqref="C132">
    <cfRule type="duplicateValues" dxfId="0" priority="121"/>
  </conditionalFormatting>
  <conditionalFormatting sqref="B133">
    <cfRule type="duplicateValues" dxfId="0" priority="126"/>
  </conditionalFormatting>
  <conditionalFormatting sqref="B134">
    <cfRule type="duplicateValues" dxfId="0" priority="120"/>
  </conditionalFormatting>
  <conditionalFormatting sqref="B135">
    <cfRule type="duplicateValues" dxfId="0" priority="118"/>
  </conditionalFormatting>
  <conditionalFormatting sqref="B136">
    <cfRule type="duplicateValues" dxfId="0" priority="117"/>
  </conditionalFormatting>
  <conditionalFormatting sqref="B137">
    <cfRule type="duplicateValues" dxfId="0" priority="119"/>
  </conditionalFormatting>
  <conditionalFormatting sqref="B138">
    <cfRule type="duplicateValues" dxfId="0" priority="125"/>
  </conditionalFormatting>
  <conditionalFormatting sqref="B141">
    <cfRule type="duplicateValues" dxfId="0" priority="75"/>
  </conditionalFormatting>
  <conditionalFormatting sqref="B144">
    <cfRule type="duplicateValues" dxfId="0" priority="114"/>
  </conditionalFormatting>
  <conditionalFormatting sqref="B145">
    <cfRule type="duplicateValues" dxfId="0" priority="115"/>
  </conditionalFormatting>
  <conditionalFormatting sqref="B148">
    <cfRule type="duplicateValues" dxfId="0" priority="124"/>
  </conditionalFormatting>
  <conditionalFormatting sqref="B149">
    <cfRule type="duplicateValues" dxfId="0" priority="112"/>
  </conditionalFormatting>
  <conditionalFormatting sqref="B150">
    <cfRule type="duplicateValues" dxfId="0" priority="74"/>
  </conditionalFormatting>
  <conditionalFormatting sqref="B154">
    <cfRule type="duplicateValues" dxfId="0" priority="123"/>
  </conditionalFormatting>
  <conditionalFormatting sqref="B155">
    <cfRule type="duplicateValues" dxfId="0" priority="107"/>
  </conditionalFormatting>
  <conditionalFormatting sqref="C155">
    <cfRule type="duplicateValues" dxfId="0" priority="106"/>
  </conditionalFormatting>
  <conditionalFormatting sqref="B156">
    <cfRule type="duplicateValues" dxfId="0" priority="111"/>
  </conditionalFormatting>
  <conditionalFormatting sqref="B157">
    <cfRule type="duplicateValues" dxfId="0" priority="105"/>
  </conditionalFormatting>
  <conditionalFormatting sqref="B158">
    <cfRule type="duplicateValues" dxfId="0" priority="103"/>
  </conditionalFormatting>
  <conditionalFormatting sqref="B159">
    <cfRule type="duplicateValues" dxfId="0" priority="102"/>
  </conditionalFormatting>
  <conditionalFormatting sqref="B160">
    <cfRule type="duplicateValues" dxfId="0" priority="104"/>
  </conditionalFormatting>
  <conditionalFormatting sqref="B161">
    <cfRule type="duplicateValues" dxfId="0" priority="110"/>
  </conditionalFormatting>
  <conditionalFormatting sqref="B164">
    <cfRule type="duplicateValues" dxfId="0" priority="97"/>
  </conditionalFormatting>
  <conditionalFormatting sqref="B165">
    <cfRule type="duplicateValues" dxfId="0" priority="96"/>
  </conditionalFormatting>
  <conditionalFormatting sqref="B166">
    <cfRule type="duplicateValues" dxfId="0" priority="98"/>
  </conditionalFormatting>
  <conditionalFormatting sqref="B169">
    <cfRule type="duplicateValues" dxfId="0" priority="99"/>
  </conditionalFormatting>
  <conditionalFormatting sqref="B170">
    <cfRule type="duplicateValues" dxfId="0" priority="100"/>
  </conditionalFormatting>
  <conditionalFormatting sqref="B174">
    <cfRule type="duplicateValues" dxfId="0" priority="109"/>
  </conditionalFormatting>
  <conditionalFormatting sqref="B175">
    <cfRule type="duplicateValues" dxfId="0" priority="94"/>
  </conditionalFormatting>
  <conditionalFormatting sqref="B176">
    <cfRule type="duplicateValues" dxfId="0" priority="93"/>
  </conditionalFormatting>
  <conditionalFormatting sqref="B180">
    <cfRule type="duplicateValues" dxfId="0" priority="108"/>
  </conditionalFormatting>
  <conditionalFormatting sqref="B181">
    <cfRule type="duplicateValues" dxfId="0" priority="88"/>
  </conditionalFormatting>
  <conditionalFormatting sqref="C181">
    <cfRule type="duplicateValues" dxfId="0" priority="87"/>
  </conditionalFormatting>
  <conditionalFormatting sqref="B182">
    <cfRule type="duplicateValues" dxfId="0" priority="92"/>
  </conditionalFormatting>
  <conditionalFormatting sqref="B183">
    <cfRule type="duplicateValues" dxfId="0" priority="86"/>
  </conditionalFormatting>
  <conditionalFormatting sqref="B184">
    <cfRule type="duplicateValues" dxfId="0" priority="84"/>
  </conditionalFormatting>
  <conditionalFormatting sqref="B185">
    <cfRule type="duplicateValues" dxfId="0" priority="83"/>
  </conditionalFormatting>
  <conditionalFormatting sqref="B186">
    <cfRule type="duplicateValues" dxfId="0" priority="85"/>
  </conditionalFormatting>
  <conditionalFormatting sqref="B187">
    <cfRule type="duplicateValues" dxfId="0" priority="91"/>
  </conditionalFormatting>
  <conditionalFormatting sqref="B190">
    <cfRule type="duplicateValues" dxfId="0" priority="79"/>
  </conditionalFormatting>
  <conditionalFormatting sqref="B193">
    <cfRule type="duplicateValues" dxfId="0" priority="80"/>
  </conditionalFormatting>
  <conditionalFormatting sqref="B194">
    <cfRule type="duplicateValues" dxfId="0" priority="81"/>
  </conditionalFormatting>
  <conditionalFormatting sqref="B197">
    <cfRule type="duplicateValues" dxfId="0" priority="90"/>
  </conditionalFormatting>
  <conditionalFormatting sqref="B198">
    <cfRule type="duplicateValues" dxfId="0" priority="77"/>
  </conditionalFormatting>
  <conditionalFormatting sqref="B199">
    <cfRule type="duplicateValues" dxfId="0" priority="76"/>
  </conditionalFormatting>
  <conditionalFormatting sqref="B203">
    <cfRule type="duplicateValues" dxfId="0" priority="89"/>
  </conditionalFormatting>
  <conditionalFormatting sqref="B204">
    <cfRule type="duplicateValues" dxfId="0" priority="72"/>
  </conditionalFormatting>
  <conditionalFormatting sqref="B205">
    <cfRule type="duplicateValues" dxfId="0" priority="67"/>
  </conditionalFormatting>
  <conditionalFormatting sqref="C205">
    <cfRule type="duplicateValues" dxfId="0" priority="66"/>
  </conditionalFormatting>
  <conditionalFormatting sqref="B206">
    <cfRule type="duplicateValues" dxfId="0" priority="71"/>
  </conditionalFormatting>
  <conditionalFormatting sqref="B207">
    <cfRule type="duplicateValues" dxfId="0" priority="65"/>
  </conditionalFormatting>
  <conditionalFormatting sqref="B208">
    <cfRule type="duplicateValues" dxfId="0" priority="63"/>
  </conditionalFormatting>
  <conditionalFormatting sqref="B209">
    <cfRule type="duplicateValues" dxfId="0" priority="62"/>
  </conditionalFormatting>
  <conditionalFormatting sqref="B210">
    <cfRule type="duplicateValues" dxfId="0" priority="64"/>
  </conditionalFormatting>
  <conditionalFormatting sqref="B211">
    <cfRule type="duplicateValues" dxfId="0" priority="70"/>
  </conditionalFormatting>
  <conditionalFormatting sqref="B214">
    <cfRule type="duplicateValues" dxfId="0" priority="57"/>
  </conditionalFormatting>
  <conditionalFormatting sqref="B215">
    <cfRule type="duplicateValues" dxfId="0" priority="56"/>
  </conditionalFormatting>
  <conditionalFormatting sqref="B216">
    <cfRule type="duplicateValues" dxfId="0" priority="58"/>
  </conditionalFormatting>
  <conditionalFormatting sqref="B219">
    <cfRule type="duplicateValues" dxfId="0" priority="59"/>
  </conditionalFormatting>
  <conditionalFormatting sqref="B220">
    <cfRule type="duplicateValues" dxfId="0" priority="60"/>
  </conditionalFormatting>
  <conditionalFormatting sqref="B224">
    <cfRule type="duplicateValues" dxfId="0" priority="69"/>
  </conditionalFormatting>
  <conditionalFormatting sqref="B225">
    <cfRule type="duplicateValues" dxfId="0" priority="54"/>
  </conditionalFormatting>
  <conditionalFormatting sqref="B226">
    <cfRule type="duplicateValues" dxfId="0" priority="1"/>
  </conditionalFormatting>
  <conditionalFormatting sqref="B230">
    <cfRule type="duplicateValues" dxfId="0" priority="68"/>
  </conditionalFormatting>
  <conditionalFormatting sqref="B231">
    <cfRule type="duplicateValues" dxfId="0" priority="49"/>
  </conditionalFormatting>
  <conditionalFormatting sqref="C231">
    <cfRule type="duplicateValues" dxfId="0" priority="48"/>
  </conditionalFormatting>
  <conditionalFormatting sqref="B232">
    <cfRule type="duplicateValues" dxfId="0" priority="53"/>
  </conditionalFormatting>
  <conditionalFormatting sqref="B233">
    <cfRule type="duplicateValues" dxfId="0" priority="47"/>
  </conditionalFormatting>
  <conditionalFormatting sqref="B234">
    <cfRule type="duplicateValues" dxfId="0" priority="45"/>
  </conditionalFormatting>
  <conditionalFormatting sqref="B235">
    <cfRule type="duplicateValues" dxfId="0" priority="44"/>
  </conditionalFormatting>
  <conditionalFormatting sqref="B236">
    <cfRule type="duplicateValues" dxfId="0" priority="46"/>
  </conditionalFormatting>
  <conditionalFormatting sqref="B237">
    <cfRule type="duplicateValues" dxfId="0" priority="52"/>
  </conditionalFormatting>
  <conditionalFormatting sqref="B242">
    <cfRule type="duplicateValues" dxfId="0" priority="41"/>
  </conditionalFormatting>
  <conditionalFormatting sqref="B243">
    <cfRule type="duplicateValues" dxfId="0" priority="42"/>
  </conditionalFormatting>
  <conditionalFormatting sqref="B246">
    <cfRule type="duplicateValues" dxfId="0" priority="51"/>
  </conditionalFormatting>
  <conditionalFormatting sqref="B247">
    <cfRule type="duplicateValues" dxfId="0" priority="39"/>
  </conditionalFormatting>
  <conditionalFormatting sqref="B248">
    <cfRule type="duplicateValues" dxfId="0" priority="2"/>
  </conditionalFormatting>
  <conditionalFormatting sqref="B252">
    <cfRule type="duplicateValues" dxfId="0" priority="50"/>
  </conditionalFormatting>
  <conditionalFormatting sqref="B253">
    <cfRule type="duplicateValues" dxfId="0" priority="34"/>
  </conditionalFormatting>
  <conditionalFormatting sqref="C253">
    <cfRule type="duplicateValues" dxfId="0" priority="33"/>
  </conditionalFormatting>
  <conditionalFormatting sqref="B254">
    <cfRule type="duplicateValues" dxfId="0" priority="38"/>
  </conditionalFormatting>
  <conditionalFormatting sqref="B255">
    <cfRule type="duplicateValues" dxfId="0" priority="32"/>
  </conditionalFormatting>
  <conditionalFormatting sqref="B256">
    <cfRule type="duplicateValues" dxfId="0" priority="30"/>
  </conditionalFormatting>
  <conditionalFormatting sqref="B257">
    <cfRule type="duplicateValues" dxfId="0" priority="29"/>
  </conditionalFormatting>
  <conditionalFormatting sqref="B258">
    <cfRule type="duplicateValues" dxfId="0" priority="31"/>
  </conditionalFormatting>
  <conditionalFormatting sqref="B259">
    <cfRule type="duplicateValues" dxfId="0" priority="37"/>
  </conditionalFormatting>
  <conditionalFormatting sqref="B262">
    <cfRule type="duplicateValues" dxfId="0" priority="24"/>
  </conditionalFormatting>
  <conditionalFormatting sqref="B263">
    <cfRule type="duplicateValues" dxfId="0" priority="23"/>
  </conditionalFormatting>
  <conditionalFormatting sqref="B264">
    <cfRule type="duplicateValues" dxfId="0" priority="25"/>
  </conditionalFormatting>
  <conditionalFormatting sqref="B267">
    <cfRule type="duplicateValues" dxfId="0" priority="26"/>
  </conditionalFormatting>
  <conditionalFormatting sqref="B268">
    <cfRule type="duplicateValues" dxfId="0" priority="27"/>
  </conditionalFormatting>
  <conditionalFormatting sqref="B272">
    <cfRule type="duplicateValues" dxfId="0" priority="36"/>
  </conditionalFormatting>
  <conditionalFormatting sqref="B273">
    <cfRule type="duplicateValues" dxfId="0" priority="21"/>
  </conditionalFormatting>
  <conditionalFormatting sqref="B274">
    <cfRule type="duplicateValues" dxfId="0" priority="20"/>
  </conditionalFormatting>
  <conditionalFormatting sqref="B278">
    <cfRule type="duplicateValues" dxfId="0" priority="35"/>
  </conditionalFormatting>
  <conditionalFormatting sqref="B279">
    <cfRule type="duplicateValues" dxfId="0" priority="15"/>
  </conditionalFormatting>
  <conditionalFormatting sqref="C279">
    <cfRule type="duplicateValues" dxfId="0" priority="14"/>
  </conditionalFormatting>
  <conditionalFormatting sqref="B280">
    <cfRule type="duplicateValues" dxfId="0" priority="19"/>
  </conditionalFormatting>
  <conditionalFormatting sqref="B281">
    <cfRule type="duplicateValues" dxfId="0" priority="13"/>
  </conditionalFormatting>
  <conditionalFormatting sqref="B282">
    <cfRule type="duplicateValues" dxfId="0" priority="11"/>
  </conditionalFormatting>
  <conditionalFormatting sqref="B283">
    <cfRule type="duplicateValues" dxfId="0" priority="10"/>
  </conditionalFormatting>
  <conditionalFormatting sqref="B284">
    <cfRule type="duplicateValues" dxfId="0" priority="12"/>
  </conditionalFormatting>
  <conditionalFormatting sqref="B285">
    <cfRule type="duplicateValues" dxfId="0" priority="18"/>
  </conditionalFormatting>
  <conditionalFormatting sqref="B288">
    <cfRule type="duplicateValues" dxfId="0" priority="6"/>
  </conditionalFormatting>
  <conditionalFormatting sqref="B291">
    <cfRule type="duplicateValues" dxfId="0" priority="7"/>
  </conditionalFormatting>
  <conditionalFormatting sqref="B292">
    <cfRule type="duplicateValues" dxfId="0" priority="8"/>
  </conditionalFormatting>
  <conditionalFormatting sqref="B295">
    <cfRule type="duplicateValues" dxfId="0" priority="17"/>
  </conditionalFormatting>
  <conditionalFormatting sqref="B296">
    <cfRule type="duplicateValues" dxfId="0" priority="4"/>
  </conditionalFormatting>
  <conditionalFormatting sqref="B297">
    <cfRule type="duplicateValues" dxfId="0" priority="3"/>
  </conditionalFormatting>
  <conditionalFormatting sqref="B301">
    <cfRule type="duplicateValues" dxfId="0" priority="16"/>
  </conditionalFormatting>
  <conditionalFormatting sqref="B302">
    <cfRule type="duplicateValues" dxfId="0" priority="219"/>
  </conditionalFormatting>
  <conditionalFormatting sqref="B27:B29">
    <cfRule type="duplicateValues" dxfId="0" priority="202"/>
  </conditionalFormatting>
  <conditionalFormatting sqref="B52:B54">
    <cfRule type="duplicateValues" dxfId="0" priority="184"/>
  </conditionalFormatting>
  <conditionalFormatting sqref="B78:B80">
    <cfRule type="duplicateValues" dxfId="0" priority="165"/>
  </conditionalFormatting>
  <conditionalFormatting sqref="B101:B103">
    <cfRule type="duplicateValues" dxfId="0" priority="148"/>
  </conditionalFormatting>
  <conditionalFormatting sqref="B128:B130">
    <cfRule type="duplicateValues" dxfId="0" priority="128"/>
  </conditionalFormatting>
  <conditionalFormatting sqref="B151:B153">
    <cfRule type="duplicateValues" dxfId="0" priority="113"/>
  </conditionalFormatting>
  <conditionalFormatting sqref="B177:B179">
    <cfRule type="duplicateValues" dxfId="0" priority="95"/>
  </conditionalFormatting>
  <conditionalFormatting sqref="B200:B202">
    <cfRule type="duplicateValues" dxfId="0" priority="78"/>
  </conditionalFormatting>
  <conditionalFormatting sqref="B227:B229">
    <cfRule type="duplicateValues" dxfId="0" priority="55"/>
  </conditionalFormatting>
  <conditionalFormatting sqref="B249:B251">
    <cfRule type="duplicateValues" dxfId="0" priority="40"/>
  </conditionalFormatting>
  <conditionalFormatting sqref="B275:B277">
    <cfRule type="duplicateValues" dxfId="0" priority="22"/>
  </conditionalFormatting>
  <conditionalFormatting sqref="B298:B300">
    <cfRule type="duplicateValues" dxfId="0" priority="5"/>
  </conditionalFormatting>
  <conditionalFormatting sqref="B2 B4">
    <cfRule type="duplicateValues" dxfId="0" priority="220"/>
  </conditionalFormatting>
  <conditionalFormatting sqref="B12:B13 B17:B18 B21:B23">
    <cfRule type="duplicateValues" dxfId="0" priority="208"/>
  </conditionalFormatting>
  <conditionalFormatting sqref="B38:B39 B42:B43 B46:B48">
    <cfRule type="duplicateValues" dxfId="0" priority="189"/>
  </conditionalFormatting>
  <conditionalFormatting sqref="B63:B64 B68:B69 B72:B74">
    <cfRule type="duplicateValues" dxfId="0" priority="171"/>
  </conditionalFormatting>
  <conditionalFormatting sqref="B89:B90 B92:B93 B96:B97">
    <cfRule type="duplicateValues" dxfId="0" priority="152"/>
  </conditionalFormatting>
  <conditionalFormatting sqref="B113:B114 B118:B119 B122:B124">
    <cfRule type="duplicateValues" dxfId="0" priority="134"/>
  </conditionalFormatting>
  <conditionalFormatting sqref="B139:B140 B142:B143 B146:B147">
    <cfRule type="duplicateValues" dxfId="0" priority="116"/>
  </conditionalFormatting>
  <conditionalFormatting sqref="B162:B163 B167:B168 B171:B173">
    <cfRule type="duplicateValues" dxfId="0" priority="101"/>
  </conditionalFormatting>
  <conditionalFormatting sqref="B188:B189 B191:B192 B195:B196">
    <cfRule type="duplicateValues" dxfId="0" priority="82"/>
  </conditionalFormatting>
  <conditionalFormatting sqref="B212:B213 B217:B218 B221:B223">
    <cfRule type="duplicateValues" dxfId="0" priority="61"/>
  </conditionalFormatting>
  <conditionalFormatting sqref="B238:B241 B244:B245">
    <cfRule type="duplicateValues" dxfId="0" priority="43"/>
  </conditionalFormatting>
  <conditionalFormatting sqref="B260:B261 B265:B266 B269:B271">
    <cfRule type="duplicateValues" dxfId="0" priority="28"/>
  </conditionalFormatting>
  <conditionalFormatting sqref="B286:B287 B289:B290 B293:B294">
    <cfRule type="duplicateValues" dxfId="0" priority="9"/>
  </conditionalFormatting>
  <printOptions horizontalCentered="1"/>
  <pageMargins left="0.472222222222222" right="0.472222222222222" top="0.590277777777778" bottom="0.590277777777778" header="0.393055555555556" footer="0.393055555555556"/>
  <pageSetup paperSize="9" scale="74" fitToHeight="0" orientation="landscape" blackAndWhite="1" horizontalDpi="600"/>
  <headerFooter>
    <oddFooter>&amp;C第 &amp;P 页，共 &amp;N 页</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M226"/>
  <sheetViews>
    <sheetView view="pageBreakPreview" zoomScaleNormal="100" workbookViewId="0">
      <pane ySplit="3" topLeftCell="A4" activePane="bottomLeft" state="frozen"/>
      <selection/>
      <selection pane="bottomLeft" activeCell="G7" sqref="G7"/>
    </sheetView>
  </sheetViews>
  <sheetFormatPr defaultColWidth="8.69166666666667" defaultRowHeight="11.25"/>
  <cols>
    <col min="1" max="1" width="5.975" style="34" customWidth="1"/>
    <col min="2" max="2" width="29.4333333333333" style="35" customWidth="1"/>
    <col min="3" max="3" width="39.7583333333333" style="36" customWidth="1"/>
    <col min="4" max="4" width="6.125" style="37" customWidth="1"/>
    <col min="5" max="5" width="10.8666666666667" style="38" customWidth="1"/>
    <col min="6" max="7" width="9.64166666666667" style="39" customWidth="1" outlineLevel="1"/>
    <col min="8" max="8" width="11.675" style="39" customWidth="1" outlineLevel="1"/>
    <col min="9" max="9" width="11" style="40" customWidth="1" outlineLevel="1"/>
    <col min="10" max="10" width="12.0833333333333" style="40" customWidth="1"/>
    <col min="11" max="11" width="16.5666666666667" style="40" customWidth="1"/>
    <col min="12" max="12" width="13.15" style="41" customWidth="1"/>
    <col min="13" max="13" width="8.69166666666667" style="41"/>
    <col min="14" max="14" width="9.375" style="41"/>
    <col min="15" max="235" width="8.69166666666667" style="41"/>
    <col min="236" max="236" width="14.125" style="41"/>
    <col min="237" max="16384" width="8.69166666666667" style="41"/>
  </cols>
  <sheetData>
    <row r="1" s="30" customFormat="1" ht="20.25" spans="1:12">
      <c r="A1" s="42" t="s">
        <v>523</v>
      </c>
      <c r="B1" s="43"/>
      <c r="C1" s="44"/>
      <c r="D1" s="44"/>
      <c r="E1" s="44"/>
      <c r="F1" s="44"/>
      <c r="G1" s="44"/>
      <c r="H1" s="44"/>
      <c r="I1" s="44"/>
      <c r="J1" s="44"/>
      <c r="K1" s="44"/>
      <c r="L1" s="44"/>
    </row>
    <row r="2" s="31" customFormat="1" ht="22.5" spans="1:12">
      <c r="A2" s="45" t="s">
        <v>17</v>
      </c>
      <c r="B2" s="46" t="s">
        <v>41</v>
      </c>
      <c r="C2" s="46" t="s">
        <v>524</v>
      </c>
      <c r="D2" s="46" t="s">
        <v>525</v>
      </c>
      <c r="E2" s="47" t="s">
        <v>44</v>
      </c>
      <c r="F2" s="48" t="s">
        <v>45</v>
      </c>
      <c r="G2" s="48" t="s">
        <v>46</v>
      </c>
      <c r="H2" s="48" t="s">
        <v>47</v>
      </c>
      <c r="I2" s="48" t="s">
        <v>526</v>
      </c>
      <c r="J2" s="48" t="s">
        <v>527</v>
      </c>
      <c r="K2" s="48" t="s">
        <v>528</v>
      </c>
      <c r="L2" s="49" t="s">
        <v>24</v>
      </c>
    </row>
    <row r="3" s="31" customFormat="1" ht="15" customHeight="1" spans="1:12">
      <c r="A3" s="45"/>
      <c r="B3" s="46"/>
      <c r="C3" s="46"/>
      <c r="D3" s="46"/>
      <c r="E3" s="47"/>
      <c r="F3" s="48"/>
      <c r="G3" s="48"/>
      <c r="H3" s="48"/>
      <c r="I3" s="50"/>
      <c r="J3" s="48"/>
      <c r="K3" s="48"/>
      <c r="L3" s="49"/>
    </row>
    <row r="4" s="32" customFormat="1" ht="25" customHeight="1" spans="1:12">
      <c r="A4" s="51"/>
      <c r="B4" s="52" t="s">
        <v>529</v>
      </c>
      <c r="C4" s="53"/>
      <c r="D4" s="54"/>
      <c r="E4" s="55"/>
      <c r="F4" s="56"/>
      <c r="G4" s="57"/>
      <c r="H4" s="56"/>
      <c r="I4" s="58"/>
      <c r="J4" s="58"/>
      <c r="K4" s="59">
        <f>+K5+K75+K79+K83</f>
        <v>0</v>
      </c>
      <c r="L4" s="60"/>
    </row>
    <row r="5" s="32" customFormat="1" ht="20" customHeight="1" outlineLevel="1" spans="1:12">
      <c r="A5" s="51"/>
      <c r="B5" s="61" t="s">
        <v>530</v>
      </c>
      <c r="C5" s="62"/>
      <c r="D5" s="54"/>
      <c r="E5" s="55"/>
      <c r="F5" s="56"/>
      <c r="G5" s="57"/>
      <c r="H5" s="56"/>
      <c r="I5" s="58"/>
      <c r="J5" s="58"/>
      <c r="K5" s="59">
        <f>SUM(K6:K74)</f>
        <v>0</v>
      </c>
      <c r="L5" s="60"/>
    </row>
    <row r="6" s="33" customFormat="1" ht="60" outlineLevel="2" spans="1:12">
      <c r="A6" s="63">
        <f t="shared" ref="A6:A69" si="0">A5+1</f>
        <v>1</v>
      </c>
      <c r="B6" s="64" t="s">
        <v>531</v>
      </c>
      <c r="C6" s="65" t="s">
        <v>532</v>
      </c>
      <c r="D6" s="54" t="s">
        <v>151</v>
      </c>
      <c r="E6" s="55">
        <v>17</v>
      </c>
      <c r="F6" s="66"/>
      <c r="G6" s="66"/>
      <c r="H6" s="66"/>
      <c r="I6" s="58">
        <f t="shared" ref="I6:I69" si="1">(F6+G6+H6)*$I$3</f>
        <v>0</v>
      </c>
      <c r="J6" s="58">
        <f t="shared" ref="J6:J69" si="2">F6+G6+H6+I6</f>
        <v>0</v>
      </c>
      <c r="K6" s="67">
        <f t="shared" ref="K6:K69" si="3">ROUND(E6*J6,2)</f>
        <v>0</v>
      </c>
      <c r="L6" s="68"/>
    </row>
    <row r="7" s="33" customFormat="1" ht="60" outlineLevel="2" spans="1:12">
      <c r="A7" s="63">
        <f t="shared" si="0"/>
        <v>2</v>
      </c>
      <c r="B7" s="64" t="s">
        <v>533</v>
      </c>
      <c r="C7" s="65" t="s">
        <v>534</v>
      </c>
      <c r="D7" s="54" t="s">
        <v>151</v>
      </c>
      <c r="E7" s="55">
        <v>124</v>
      </c>
      <c r="F7" s="66"/>
      <c r="G7" s="66"/>
      <c r="H7" s="66"/>
      <c r="I7" s="58">
        <f t="shared" si="1"/>
        <v>0</v>
      </c>
      <c r="J7" s="58">
        <f t="shared" si="2"/>
        <v>0</v>
      </c>
      <c r="K7" s="67">
        <f t="shared" si="3"/>
        <v>0</v>
      </c>
      <c r="L7" s="68"/>
    </row>
    <row r="8" s="33" customFormat="1" ht="60" outlineLevel="2" spans="1:12">
      <c r="A8" s="63">
        <f t="shared" si="0"/>
        <v>3</v>
      </c>
      <c r="B8" s="64" t="s">
        <v>535</v>
      </c>
      <c r="C8" s="65" t="s">
        <v>536</v>
      </c>
      <c r="D8" s="54" t="s">
        <v>151</v>
      </c>
      <c r="E8" s="55">
        <v>26</v>
      </c>
      <c r="F8" s="66"/>
      <c r="G8" s="66"/>
      <c r="H8" s="66"/>
      <c r="I8" s="58">
        <f t="shared" si="1"/>
        <v>0</v>
      </c>
      <c r="J8" s="58">
        <f t="shared" si="2"/>
        <v>0</v>
      </c>
      <c r="K8" s="67">
        <f t="shared" si="3"/>
        <v>0</v>
      </c>
      <c r="L8" s="68"/>
    </row>
    <row r="9" s="33" customFormat="1" ht="60" outlineLevel="2" spans="1:12">
      <c r="A9" s="63">
        <f t="shared" si="0"/>
        <v>4</v>
      </c>
      <c r="B9" s="64" t="s">
        <v>537</v>
      </c>
      <c r="C9" s="65" t="s">
        <v>538</v>
      </c>
      <c r="D9" s="54" t="s">
        <v>151</v>
      </c>
      <c r="E9" s="55">
        <v>104</v>
      </c>
      <c r="F9" s="66"/>
      <c r="G9" s="66"/>
      <c r="H9" s="66"/>
      <c r="I9" s="58">
        <f t="shared" si="1"/>
        <v>0</v>
      </c>
      <c r="J9" s="58">
        <f t="shared" si="2"/>
        <v>0</v>
      </c>
      <c r="K9" s="67">
        <f t="shared" si="3"/>
        <v>0</v>
      </c>
      <c r="L9" s="68"/>
    </row>
    <row r="10" s="33" customFormat="1" ht="60" outlineLevel="2" spans="1:12">
      <c r="A10" s="63">
        <f t="shared" si="0"/>
        <v>5</v>
      </c>
      <c r="B10" s="64" t="s">
        <v>539</v>
      </c>
      <c r="C10" s="65" t="s">
        <v>540</v>
      </c>
      <c r="D10" s="54" t="s">
        <v>151</v>
      </c>
      <c r="E10" s="55">
        <v>9</v>
      </c>
      <c r="F10" s="66"/>
      <c r="G10" s="66"/>
      <c r="H10" s="66"/>
      <c r="I10" s="58">
        <f t="shared" si="1"/>
        <v>0</v>
      </c>
      <c r="J10" s="58">
        <f t="shared" si="2"/>
        <v>0</v>
      </c>
      <c r="K10" s="67">
        <f t="shared" si="3"/>
        <v>0</v>
      </c>
      <c r="L10" s="68"/>
    </row>
    <row r="11" s="33" customFormat="1" ht="60" outlineLevel="2" spans="1:12">
      <c r="A11" s="63">
        <f t="shared" si="0"/>
        <v>6</v>
      </c>
      <c r="B11" s="64" t="s">
        <v>541</v>
      </c>
      <c r="C11" s="65" t="s">
        <v>542</v>
      </c>
      <c r="D11" s="54" t="s">
        <v>151</v>
      </c>
      <c r="E11" s="55">
        <v>96</v>
      </c>
      <c r="F11" s="66"/>
      <c r="G11" s="66"/>
      <c r="H11" s="66"/>
      <c r="I11" s="58">
        <f t="shared" si="1"/>
        <v>0</v>
      </c>
      <c r="J11" s="58">
        <f t="shared" si="2"/>
        <v>0</v>
      </c>
      <c r="K11" s="67">
        <f t="shared" si="3"/>
        <v>0</v>
      </c>
      <c r="L11" s="68"/>
    </row>
    <row r="12" s="33" customFormat="1" ht="60" outlineLevel="2" spans="1:12">
      <c r="A12" s="63">
        <f t="shared" si="0"/>
        <v>7</v>
      </c>
      <c r="B12" s="64" t="s">
        <v>543</v>
      </c>
      <c r="C12" s="65" t="s">
        <v>544</v>
      </c>
      <c r="D12" s="54" t="s">
        <v>151</v>
      </c>
      <c r="E12" s="55">
        <v>24</v>
      </c>
      <c r="F12" s="66"/>
      <c r="G12" s="66"/>
      <c r="H12" s="66"/>
      <c r="I12" s="58">
        <f t="shared" si="1"/>
        <v>0</v>
      </c>
      <c r="J12" s="58">
        <f t="shared" si="2"/>
        <v>0</v>
      </c>
      <c r="K12" s="67">
        <f t="shared" si="3"/>
        <v>0</v>
      </c>
      <c r="L12" s="68"/>
    </row>
    <row r="13" s="33" customFormat="1" ht="60" outlineLevel="2" spans="1:12">
      <c r="A13" s="63">
        <f t="shared" si="0"/>
        <v>8</v>
      </c>
      <c r="B13" s="64" t="s">
        <v>545</v>
      </c>
      <c r="C13" s="65" t="s">
        <v>546</v>
      </c>
      <c r="D13" s="54" t="s">
        <v>151</v>
      </c>
      <c r="E13" s="55">
        <v>12</v>
      </c>
      <c r="F13" s="66"/>
      <c r="G13" s="66"/>
      <c r="H13" s="66"/>
      <c r="I13" s="58">
        <f t="shared" si="1"/>
        <v>0</v>
      </c>
      <c r="J13" s="58">
        <f t="shared" si="2"/>
        <v>0</v>
      </c>
      <c r="K13" s="67">
        <f t="shared" si="3"/>
        <v>0</v>
      </c>
      <c r="L13" s="68"/>
    </row>
    <row r="14" s="33" customFormat="1" ht="60" outlineLevel="2" spans="1:12">
      <c r="A14" s="63">
        <f t="shared" si="0"/>
        <v>9</v>
      </c>
      <c r="B14" s="64" t="s">
        <v>547</v>
      </c>
      <c r="C14" s="65" t="s">
        <v>548</v>
      </c>
      <c r="D14" s="54" t="s">
        <v>151</v>
      </c>
      <c r="E14" s="55">
        <v>6</v>
      </c>
      <c r="F14" s="66"/>
      <c r="G14" s="66"/>
      <c r="H14" s="66"/>
      <c r="I14" s="58">
        <f t="shared" si="1"/>
        <v>0</v>
      </c>
      <c r="J14" s="58">
        <f t="shared" si="2"/>
        <v>0</v>
      </c>
      <c r="K14" s="67">
        <f t="shared" si="3"/>
        <v>0</v>
      </c>
      <c r="L14" s="68"/>
    </row>
    <row r="15" s="33" customFormat="1" ht="60" outlineLevel="2" spans="1:12">
      <c r="A15" s="63">
        <f t="shared" si="0"/>
        <v>10</v>
      </c>
      <c r="B15" s="64" t="s">
        <v>549</v>
      </c>
      <c r="C15" s="65" t="s">
        <v>550</v>
      </c>
      <c r="D15" s="54" t="s">
        <v>151</v>
      </c>
      <c r="E15" s="55">
        <v>8</v>
      </c>
      <c r="F15" s="66"/>
      <c r="G15" s="66"/>
      <c r="H15" s="66"/>
      <c r="I15" s="58">
        <f t="shared" si="1"/>
        <v>0</v>
      </c>
      <c r="J15" s="58">
        <f t="shared" si="2"/>
        <v>0</v>
      </c>
      <c r="K15" s="67">
        <f t="shared" si="3"/>
        <v>0</v>
      </c>
      <c r="L15" s="68"/>
    </row>
    <row r="16" s="33" customFormat="1" ht="60" outlineLevel="2" spans="1:12">
      <c r="A16" s="63">
        <f t="shared" si="0"/>
        <v>11</v>
      </c>
      <c r="B16" s="64" t="s">
        <v>551</v>
      </c>
      <c r="C16" s="65" t="s">
        <v>552</v>
      </c>
      <c r="D16" s="54" t="s">
        <v>151</v>
      </c>
      <c r="E16" s="55">
        <v>6</v>
      </c>
      <c r="F16" s="66"/>
      <c r="G16" s="66"/>
      <c r="H16" s="66"/>
      <c r="I16" s="58">
        <f t="shared" si="1"/>
        <v>0</v>
      </c>
      <c r="J16" s="58">
        <f t="shared" si="2"/>
        <v>0</v>
      </c>
      <c r="K16" s="67">
        <f t="shared" si="3"/>
        <v>0</v>
      </c>
      <c r="L16" s="68"/>
    </row>
    <row r="17" s="33" customFormat="1" ht="60" outlineLevel="2" spans="1:12">
      <c r="A17" s="63">
        <f t="shared" si="0"/>
        <v>12</v>
      </c>
      <c r="B17" s="64" t="s">
        <v>553</v>
      </c>
      <c r="C17" s="65" t="s">
        <v>554</v>
      </c>
      <c r="D17" s="54" t="s">
        <v>151</v>
      </c>
      <c r="E17" s="55">
        <v>25</v>
      </c>
      <c r="F17" s="66"/>
      <c r="G17" s="66"/>
      <c r="H17" s="66"/>
      <c r="I17" s="58">
        <f t="shared" si="1"/>
        <v>0</v>
      </c>
      <c r="J17" s="58">
        <f t="shared" si="2"/>
        <v>0</v>
      </c>
      <c r="K17" s="67">
        <f t="shared" si="3"/>
        <v>0</v>
      </c>
      <c r="L17" s="68"/>
    </row>
    <row r="18" s="33" customFormat="1" ht="60" outlineLevel="2" spans="1:12">
      <c r="A18" s="63">
        <f t="shared" si="0"/>
        <v>13</v>
      </c>
      <c r="B18" s="64" t="s">
        <v>555</v>
      </c>
      <c r="C18" s="65" t="s">
        <v>556</v>
      </c>
      <c r="D18" s="54" t="s">
        <v>151</v>
      </c>
      <c r="E18" s="55">
        <v>4</v>
      </c>
      <c r="F18" s="66"/>
      <c r="G18" s="66"/>
      <c r="H18" s="66"/>
      <c r="I18" s="58">
        <f t="shared" si="1"/>
        <v>0</v>
      </c>
      <c r="J18" s="58">
        <f t="shared" si="2"/>
        <v>0</v>
      </c>
      <c r="K18" s="67">
        <f t="shared" si="3"/>
        <v>0</v>
      </c>
      <c r="L18" s="68"/>
    </row>
    <row r="19" s="33" customFormat="1" ht="60" outlineLevel="2" spans="1:12">
      <c r="A19" s="63">
        <f t="shared" si="0"/>
        <v>14</v>
      </c>
      <c r="B19" s="64" t="s">
        <v>557</v>
      </c>
      <c r="C19" s="65" t="s">
        <v>558</v>
      </c>
      <c r="D19" s="54" t="s">
        <v>151</v>
      </c>
      <c r="E19" s="55">
        <v>4</v>
      </c>
      <c r="F19" s="66"/>
      <c r="G19" s="66"/>
      <c r="H19" s="66"/>
      <c r="I19" s="58">
        <f t="shared" si="1"/>
        <v>0</v>
      </c>
      <c r="J19" s="58">
        <f t="shared" si="2"/>
        <v>0</v>
      </c>
      <c r="K19" s="67">
        <f t="shared" si="3"/>
        <v>0</v>
      </c>
      <c r="L19" s="68"/>
    </row>
    <row r="20" s="33" customFormat="1" ht="60" outlineLevel="2" spans="1:12">
      <c r="A20" s="63">
        <f t="shared" si="0"/>
        <v>15</v>
      </c>
      <c r="B20" s="64" t="s">
        <v>559</v>
      </c>
      <c r="C20" s="65" t="s">
        <v>560</v>
      </c>
      <c r="D20" s="54" t="s">
        <v>151</v>
      </c>
      <c r="E20" s="55">
        <v>9</v>
      </c>
      <c r="F20" s="66"/>
      <c r="G20" s="66"/>
      <c r="H20" s="66"/>
      <c r="I20" s="58">
        <f t="shared" si="1"/>
        <v>0</v>
      </c>
      <c r="J20" s="58">
        <f t="shared" si="2"/>
        <v>0</v>
      </c>
      <c r="K20" s="67">
        <f t="shared" si="3"/>
        <v>0</v>
      </c>
      <c r="L20" s="68"/>
    </row>
    <row r="21" s="33" customFormat="1" ht="60" outlineLevel="2" spans="1:12">
      <c r="A21" s="63">
        <f t="shared" si="0"/>
        <v>16</v>
      </c>
      <c r="B21" s="64" t="s">
        <v>561</v>
      </c>
      <c r="C21" s="65" t="s">
        <v>562</v>
      </c>
      <c r="D21" s="54" t="s">
        <v>151</v>
      </c>
      <c r="E21" s="55">
        <v>8</v>
      </c>
      <c r="F21" s="66"/>
      <c r="G21" s="66"/>
      <c r="H21" s="66"/>
      <c r="I21" s="58">
        <f t="shared" si="1"/>
        <v>0</v>
      </c>
      <c r="J21" s="58">
        <f t="shared" si="2"/>
        <v>0</v>
      </c>
      <c r="K21" s="67">
        <f t="shared" si="3"/>
        <v>0</v>
      </c>
      <c r="L21" s="68"/>
    </row>
    <row r="22" s="33" customFormat="1" ht="60" outlineLevel="2" spans="1:12">
      <c r="A22" s="63">
        <f t="shared" si="0"/>
        <v>17</v>
      </c>
      <c r="B22" s="64" t="s">
        <v>563</v>
      </c>
      <c r="C22" s="65" t="s">
        <v>564</v>
      </c>
      <c r="D22" s="54" t="s">
        <v>151</v>
      </c>
      <c r="E22" s="55">
        <v>34</v>
      </c>
      <c r="F22" s="66"/>
      <c r="G22" s="66"/>
      <c r="H22" s="66"/>
      <c r="I22" s="58">
        <f t="shared" si="1"/>
        <v>0</v>
      </c>
      <c r="J22" s="58">
        <f t="shared" si="2"/>
        <v>0</v>
      </c>
      <c r="K22" s="67">
        <f t="shared" si="3"/>
        <v>0</v>
      </c>
      <c r="L22" s="68"/>
    </row>
    <row r="23" s="33" customFormat="1" ht="60" outlineLevel="2" spans="1:12">
      <c r="A23" s="63">
        <f t="shared" si="0"/>
        <v>18</v>
      </c>
      <c r="B23" s="64" t="s">
        <v>565</v>
      </c>
      <c r="C23" s="65" t="s">
        <v>566</v>
      </c>
      <c r="D23" s="54" t="s">
        <v>151</v>
      </c>
      <c r="E23" s="55">
        <v>82</v>
      </c>
      <c r="F23" s="66"/>
      <c r="G23" s="66"/>
      <c r="H23" s="66"/>
      <c r="I23" s="58">
        <f t="shared" si="1"/>
        <v>0</v>
      </c>
      <c r="J23" s="58">
        <f t="shared" si="2"/>
        <v>0</v>
      </c>
      <c r="K23" s="67">
        <f t="shared" si="3"/>
        <v>0</v>
      </c>
      <c r="L23" s="68"/>
    </row>
    <row r="24" s="33" customFormat="1" ht="60" outlineLevel="2" spans="1:12">
      <c r="A24" s="63">
        <f t="shared" si="0"/>
        <v>19</v>
      </c>
      <c r="B24" s="64" t="s">
        <v>567</v>
      </c>
      <c r="C24" s="65" t="s">
        <v>568</v>
      </c>
      <c r="D24" s="54" t="s">
        <v>151</v>
      </c>
      <c r="E24" s="55">
        <v>5</v>
      </c>
      <c r="F24" s="66"/>
      <c r="G24" s="66"/>
      <c r="H24" s="66"/>
      <c r="I24" s="58">
        <f t="shared" si="1"/>
        <v>0</v>
      </c>
      <c r="J24" s="58">
        <f t="shared" si="2"/>
        <v>0</v>
      </c>
      <c r="K24" s="67">
        <f t="shared" si="3"/>
        <v>0</v>
      </c>
      <c r="L24" s="68"/>
    </row>
    <row r="25" s="33" customFormat="1" ht="60" outlineLevel="2" spans="1:12">
      <c r="A25" s="63">
        <f t="shared" si="0"/>
        <v>20</v>
      </c>
      <c r="B25" s="64" t="s">
        <v>569</v>
      </c>
      <c r="C25" s="65" t="s">
        <v>570</v>
      </c>
      <c r="D25" s="54" t="s">
        <v>151</v>
      </c>
      <c r="E25" s="55">
        <v>18</v>
      </c>
      <c r="F25" s="66"/>
      <c r="G25" s="66"/>
      <c r="H25" s="66"/>
      <c r="I25" s="58">
        <f t="shared" si="1"/>
        <v>0</v>
      </c>
      <c r="J25" s="58">
        <f t="shared" si="2"/>
        <v>0</v>
      </c>
      <c r="K25" s="67">
        <f t="shared" si="3"/>
        <v>0</v>
      </c>
      <c r="L25" s="68"/>
    </row>
    <row r="26" s="33" customFormat="1" ht="60" outlineLevel="2" spans="1:12">
      <c r="A26" s="63">
        <f t="shared" si="0"/>
        <v>21</v>
      </c>
      <c r="B26" s="64" t="s">
        <v>571</v>
      </c>
      <c r="C26" s="65" t="s">
        <v>572</v>
      </c>
      <c r="D26" s="54" t="s">
        <v>151</v>
      </c>
      <c r="E26" s="55">
        <v>2</v>
      </c>
      <c r="F26" s="66"/>
      <c r="G26" s="66"/>
      <c r="H26" s="66"/>
      <c r="I26" s="58">
        <f t="shared" si="1"/>
        <v>0</v>
      </c>
      <c r="J26" s="58">
        <f t="shared" si="2"/>
        <v>0</v>
      </c>
      <c r="K26" s="67">
        <f t="shared" si="3"/>
        <v>0</v>
      </c>
      <c r="L26" s="68"/>
    </row>
    <row r="27" s="33" customFormat="1" ht="60" outlineLevel="2" spans="1:12">
      <c r="A27" s="63">
        <f t="shared" si="0"/>
        <v>22</v>
      </c>
      <c r="B27" s="64" t="s">
        <v>573</v>
      </c>
      <c r="C27" s="65" t="s">
        <v>574</v>
      </c>
      <c r="D27" s="54" t="s">
        <v>151</v>
      </c>
      <c r="E27" s="55">
        <v>6</v>
      </c>
      <c r="F27" s="66"/>
      <c r="G27" s="66"/>
      <c r="H27" s="66"/>
      <c r="I27" s="58">
        <f t="shared" si="1"/>
        <v>0</v>
      </c>
      <c r="J27" s="58">
        <f t="shared" si="2"/>
        <v>0</v>
      </c>
      <c r="K27" s="67">
        <f t="shared" si="3"/>
        <v>0</v>
      </c>
      <c r="L27" s="68"/>
    </row>
    <row r="28" s="33" customFormat="1" ht="72" outlineLevel="2" spans="1:12">
      <c r="A28" s="63">
        <f t="shared" si="0"/>
        <v>23</v>
      </c>
      <c r="B28" s="64" t="s">
        <v>575</v>
      </c>
      <c r="C28" s="65" t="s">
        <v>576</v>
      </c>
      <c r="D28" s="54" t="s">
        <v>65</v>
      </c>
      <c r="E28" s="55">
        <v>106.7</v>
      </c>
      <c r="F28" s="66"/>
      <c r="G28" s="66"/>
      <c r="H28" s="66"/>
      <c r="I28" s="58">
        <f t="shared" si="1"/>
        <v>0</v>
      </c>
      <c r="J28" s="58">
        <f t="shared" si="2"/>
        <v>0</v>
      </c>
      <c r="K28" s="67">
        <f t="shared" si="3"/>
        <v>0</v>
      </c>
      <c r="L28" s="68"/>
    </row>
    <row r="29" s="33" customFormat="1" ht="72" outlineLevel="2" spans="1:12">
      <c r="A29" s="63">
        <f t="shared" si="0"/>
        <v>24</v>
      </c>
      <c r="B29" s="64" t="s">
        <v>577</v>
      </c>
      <c r="C29" s="65" t="s">
        <v>578</v>
      </c>
      <c r="D29" s="54" t="s">
        <v>65</v>
      </c>
      <c r="E29" s="55">
        <v>24.4</v>
      </c>
      <c r="F29" s="66"/>
      <c r="G29" s="66"/>
      <c r="H29" s="66"/>
      <c r="I29" s="58">
        <f t="shared" si="1"/>
        <v>0</v>
      </c>
      <c r="J29" s="58">
        <f t="shared" si="2"/>
        <v>0</v>
      </c>
      <c r="K29" s="67">
        <f t="shared" si="3"/>
        <v>0</v>
      </c>
      <c r="L29" s="68"/>
    </row>
    <row r="30" s="33" customFormat="1" ht="72" outlineLevel="2" spans="1:12">
      <c r="A30" s="63">
        <f t="shared" si="0"/>
        <v>25</v>
      </c>
      <c r="B30" s="64" t="s">
        <v>579</v>
      </c>
      <c r="C30" s="65" t="s">
        <v>580</v>
      </c>
      <c r="D30" s="54" t="s">
        <v>65</v>
      </c>
      <c r="E30" s="55">
        <v>207.488</v>
      </c>
      <c r="F30" s="66"/>
      <c r="G30" s="66"/>
      <c r="H30" s="66"/>
      <c r="I30" s="58">
        <f t="shared" si="1"/>
        <v>0</v>
      </c>
      <c r="J30" s="58">
        <f t="shared" si="2"/>
        <v>0</v>
      </c>
      <c r="K30" s="67">
        <f t="shared" si="3"/>
        <v>0</v>
      </c>
      <c r="L30" s="68"/>
    </row>
    <row r="31" s="33" customFormat="1" ht="72" outlineLevel="2" spans="1:12">
      <c r="A31" s="63">
        <f t="shared" si="0"/>
        <v>26</v>
      </c>
      <c r="B31" s="64" t="s">
        <v>581</v>
      </c>
      <c r="C31" s="65" t="s">
        <v>582</v>
      </c>
      <c r="D31" s="54" t="s">
        <v>65</v>
      </c>
      <c r="E31" s="55">
        <v>65.306</v>
      </c>
      <c r="F31" s="66"/>
      <c r="G31" s="66"/>
      <c r="H31" s="66"/>
      <c r="I31" s="58">
        <f t="shared" si="1"/>
        <v>0</v>
      </c>
      <c r="J31" s="58">
        <f t="shared" si="2"/>
        <v>0</v>
      </c>
      <c r="K31" s="67">
        <f t="shared" si="3"/>
        <v>0</v>
      </c>
      <c r="L31" s="68"/>
    </row>
    <row r="32" s="33" customFormat="1" ht="72" outlineLevel="2" spans="1:12">
      <c r="A32" s="63">
        <f t="shared" si="0"/>
        <v>27</v>
      </c>
      <c r="B32" s="64" t="s">
        <v>583</v>
      </c>
      <c r="C32" s="65" t="s">
        <v>584</v>
      </c>
      <c r="D32" s="54" t="s">
        <v>65</v>
      </c>
      <c r="E32" s="55">
        <v>103.2</v>
      </c>
      <c r="F32" s="66"/>
      <c r="G32" s="66"/>
      <c r="H32" s="66"/>
      <c r="I32" s="58">
        <f t="shared" si="1"/>
        <v>0</v>
      </c>
      <c r="J32" s="58">
        <f t="shared" si="2"/>
        <v>0</v>
      </c>
      <c r="K32" s="67">
        <f t="shared" si="3"/>
        <v>0</v>
      </c>
      <c r="L32" s="68"/>
    </row>
    <row r="33" s="33" customFormat="1" ht="72" outlineLevel="2" spans="1:12">
      <c r="A33" s="63">
        <f t="shared" si="0"/>
        <v>28</v>
      </c>
      <c r="B33" s="64" t="s">
        <v>585</v>
      </c>
      <c r="C33" s="65" t="s">
        <v>586</v>
      </c>
      <c r="D33" s="54" t="s">
        <v>65</v>
      </c>
      <c r="E33" s="55">
        <v>511.297</v>
      </c>
      <c r="F33" s="66"/>
      <c r="G33" s="66"/>
      <c r="H33" s="66"/>
      <c r="I33" s="58">
        <f t="shared" si="1"/>
        <v>0</v>
      </c>
      <c r="J33" s="58">
        <f t="shared" si="2"/>
        <v>0</v>
      </c>
      <c r="K33" s="67">
        <f t="shared" si="3"/>
        <v>0</v>
      </c>
      <c r="L33" s="68"/>
    </row>
    <row r="34" s="33" customFormat="1" ht="72" outlineLevel="2" spans="1:12">
      <c r="A34" s="63">
        <f t="shared" si="0"/>
        <v>29</v>
      </c>
      <c r="B34" s="64" t="s">
        <v>587</v>
      </c>
      <c r="C34" s="65" t="s">
        <v>588</v>
      </c>
      <c r="D34" s="54" t="s">
        <v>65</v>
      </c>
      <c r="E34" s="55">
        <v>50.704</v>
      </c>
      <c r="F34" s="66"/>
      <c r="G34" s="66"/>
      <c r="H34" s="66"/>
      <c r="I34" s="58">
        <f t="shared" si="1"/>
        <v>0</v>
      </c>
      <c r="J34" s="58">
        <f t="shared" si="2"/>
        <v>0</v>
      </c>
      <c r="K34" s="67">
        <f t="shared" si="3"/>
        <v>0</v>
      </c>
      <c r="L34" s="68"/>
    </row>
    <row r="35" s="33" customFormat="1" ht="72" outlineLevel="2" spans="1:12">
      <c r="A35" s="63">
        <f t="shared" si="0"/>
        <v>30</v>
      </c>
      <c r="B35" s="64" t="s">
        <v>589</v>
      </c>
      <c r="C35" s="65" t="s">
        <v>590</v>
      </c>
      <c r="D35" s="54" t="s">
        <v>65</v>
      </c>
      <c r="E35" s="55">
        <v>10.744</v>
      </c>
      <c r="F35" s="66"/>
      <c r="G35" s="66"/>
      <c r="H35" s="66"/>
      <c r="I35" s="58">
        <f t="shared" si="1"/>
        <v>0</v>
      </c>
      <c r="J35" s="58">
        <f t="shared" si="2"/>
        <v>0</v>
      </c>
      <c r="K35" s="67">
        <f t="shared" si="3"/>
        <v>0</v>
      </c>
      <c r="L35" s="68"/>
    </row>
    <row r="36" s="33" customFormat="1" ht="72" outlineLevel="2" spans="1:12">
      <c r="A36" s="63">
        <f t="shared" si="0"/>
        <v>31</v>
      </c>
      <c r="B36" s="64" t="s">
        <v>591</v>
      </c>
      <c r="C36" s="65" t="s">
        <v>592</v>
      </c>
      <c r="D36" s="54" t="s">
        <v>65</v>
      </c>
      <c r="E36" s="55">
        <v>51.985</v>
      </c>
      <c r="F36" s="66"/>
      <c r="G36" s="66"/>
      <c r="H36" s="66"/>
      <c r="I36" s="58">
        <f t="shared" si="1"/>
        <v>0</v>
      </c>
      <c r="J36" s="58">
        <f t="shared" si="2"/>
        <v>0</v>
      </c>
      <c r="K36" s="67">
        <f t="shared" si="3"/>
        <v>0</v>
      </c>
      <c r="L36" s="68"/>
    </row>
    <row r="37" s="33" customFormat="1" ht="72" outlineLevel="2" spans="1:12">
      <c r="A37" s="63">
        <f t="shared" si="0"/>
        <v>32</v>
      </c>
      <c r="B37" s="64" t="s">
        <v>593</v>
      </c>
      <c r="C37" s="65" t="s">
        <v>594</v>
      </c>
      <c r="D37" s="54" t="s">
        <v>65</v>
      </c>
      <c r="E37" s="55">
        <v>27.256</v>
      </c>
      <c r="F37" s="66"/>
      <c r="G37" s="66"/>
      <c r="H37" s="66"/>
      <c r="I37" s="58">
        <f t="shared" si="1"/>
        <v>0</v>
      </c>
      <c r="J37" s="58">
        <f t="shared" si="2"/>
        <v>0</v>
      </c>
      <c r="K37" s="67">
        <f t="shared" si="3"/>
        <v>0</v>
      </c>
      <c r="L37" s="68"/>
    </row>
    <row r="38" s="33" customFormat="1" ht="72" outlineLevel="2" spans="1:12">
      <c r="A38" s="63">
        <f t="shared" si="0"/>
        <v>33</v>
      </c>
      <c r="B38" s="64" t="s">
        <v>595</v>
      </c>
      <c r="C38" s="65" t="s">
        <v>596</v>
      </c>
      <c r="D38" s="54" t="s">
        <v>65</v>
      </c>
      <c r="E38" s="55">
        <v>12.985</v>
      </c>
      <c r="F38" s="66"/>
      <c r="G38" s="66"/>
      <c r="H38" s="66"/>
      <c r="I38" s="58">
        <f t="shared" si="1"/>
        <v>0</v>
      </c>
      <c r="J38" s="58">
        <f t="shared" si="2"/>
        <v>0</v>
      </c>
      <c r="K38" s="67">
        <f t="shared" si="3"/>
        <v>0</v>
      </c>
      <c r="L38" s="68"/>
    </row>
    <row r="39" s="33" customFormat="1" ht="72" outlineLevel="2" spans="1:12">
      <c r="A39" s="63">
        <f t="shared" si="0"/>
        <v>34</v>
      </c>
      <c r="B39" s="64" t="s">
        <v>597</v>
      </c>
      <c r="C39" s="65" t="s">
        <v>598</v>
      </c>
      <c r="D39" s="54" t="s">
        <v>65</v>
      </c>
      <c r="E39" s="55">
        <v>123.453</v>
      </c>
      <c r="F39" s="66"/>
      <c r="G39" s="66"/>
      <c r="H39" s="66"/>
      <c r="I39" s="58">
        <f t="shared" si="1"/>
        <v>0</v>
      </c>
      <c r="J39" s="58">
        <f t="shared" si="2"/>
        <v>0</v>
      </c>
      <c r="K39" s="67">
        <f t="shared" si="3"/>
        <v>0</v>
      </c>
      <c r="L39" s="68"/>
    </row>
    <row r="40" s="33" customFormat="1" ht="48" outlineLevel="2" spans="1:12">
      <c r="A40" s="63">
        <f t="shared" si="0"/>
        <v>35</v>
      </c>
      <c r="B40" s="64" t="s">
        <v>599</v>
      </c>
      <c r="C40" s="65" t="s">
        <v>600</v>
      </c>
      <c r="D40" s="54" t="s">
        <v>65</v>
      </c>
      <c r="E40" s="55">
        <v>31.476</v>
      </c>
      <c r="F40" s="66"/>
      <c r="G40" s="66"/>
      <c r="H40" s="66"/>
      <c r="I40" s="58">
        <f t="shared" si="1"/>
        <v>0</v>
      </c>
      <c r="J40" s="58">
        <f t="shared" si="2"/>
        <v>0</v>
      </c>
      <c r="K40" s="67">
        <f t="shared" si="3"/>
        <v>0</v>
      </c>
      <c r="L40" s="68"/>
    </row>
    <row r="41" s="33" customFormat="1" ht="48" outlineLevel="2" spans="1:12">
      <c r="A41" s="63">
        <f t="shared" si="0"/>
        <v>36</v>
      </c>
      <c r="B41" s="64" t="s">
        <v>601</v>
      </c>
      <c r="C41" s="65" t="s">
        <v>602</v>
      </c>
      <c r="D41" s="54" t="s">
        <v>603</v>
      </c>
      <c r="E41" s="55">
        <v>11</v>
      </c>
      <c r="F41" s="66"/>
      <c r="G41" s="66"/>
      <c r="H41" s="66"/>
      <c r="I41" s="58">
        <f t="shared" si="1"/>
        <v>0</v>
      </c>
      <c r="J41" s="58">
        <f t="shared" si="2"/>
        <v>0</v>
      </c>
      <c r="K41" s="67">
        <f t="shared" si="3"/>
        <v>0</v>
      </c>
      <c r="L41" s="68"/>
    </row>
    <row r="42" s="33" customFormat="1" ht="48" outlineLevel="2" spans="1:12">
      <c r="A42" s="63">
        <f t="shared" si="0"/>
        <v>37</v>
      </c>
      <c r="B42" s="64" t="s">
        <v>604</v>
      </c>
      <c r="C42" s="65" t="s">
        <v>605</v>
      </c>
      <c r="D42" s="54" t="s">
        <v>603</v>
      </c>
      <c r="E42" s="55">
        <v>12</v>
      </c>
      <c r="F42" s="66"/>
      <c r="G42" s="66"/>
      <c r="H42" s="66"/>
      <c r="I42" s="58">
        <f t="shared" si="1"/>
        <v>0</v>
      </c>
      <c r="J42" s="58">
        <f t="shared" si="2"/>
        <v>0</v>
      </c>
      <c r="K42" s="67">
        <f t="shared" si="3"/>
        <v>0</v>
      </c>
      <c r="L42" s="68"/>
    </row>
    <row r="43" s="33" customFormat="1" ht="48" outlineLevel="2" spans="1:12">
      <c r="A43" s="63">
        <f t="shared" si="0"/>
        <v>38</v>
      </c>
      <c r="B43" s="64" t="s">
        <v>606</v>
      </c>
      <c r="C43" s="65" t="s">
        <v>607</v>
      </c>
      <c r="D43" s="54" t="s">
        <v>603</v>
      </c>
      <c r="E43" s="55">
        <v>41</v>
      </c>
      <c r="F43" s="66"/>
      <c r="G43" s="66"/>
      <c r="H43" s="66"/>
      <c r="I43" s="58">
        <f t="shared" si="1"/>
        <v>0</v>
      </c>
      <c r="J43" s="58">
        <f t="shared" si="2"/>
        <v>0</v>
      </c>
      <c r="K43" s="67">
        <f t="shared" si="3"/>
        <v>0</v>
      </c>
      <c r="L43" s="68"/>
    </row>
    <row r="44" s="33" customFormat="1" ht="48" outlineLevel="2" spans="1:12">
      <c r="A44" s="63">
        <f t="shared" si="0"/>
        <v>39</v>
      </c>
      <c r="B44" s="64" t="s">
        <v>608</v>
      </c>
      <c r="C44" s="65" t="s">
        <v>609</v>
      </c>
      <c r="D44" s="54" t="s">
        <v>603</v>
      </c>
      <c r="E44" s="55">
        <v>113</v>
      </c>
      <c r="F44" s="66"/>
      <c r="G44" s="66"/>
      <c r="H44" s="66"/>
      <c r="I44" s="58">
        <f t="shared" si="1"/>
        <v>0</v>
      </c>
      <c r="J44" s="58">
        <f t="shared" si="2"/>
        <v>0</v>
      </c>
      <c r="K44" s="67">
        <f t="shared" si="3"/>
        <v>0</v>
      </c>
      <c r="L44" s="68"/>
    </row>
    <row r="45" s="33" customFormat="1" ht="48" outlineLevel="2" spans="1:12">
      <c r="A45" s="63">
        <f t="shared" si="0"/>
        <v>40</v>
      </c>
      <c r="B45" s="64" t="s">
        <v>610</v>
      </c>
      <c r="C45" s="65" t="s">
        <v>611</v>
      </c>
      <c r="D45" s="54" t="s">
        <v>603</v>
      </c>
      <c r="E45" s="55">
        <v>29</v>
      </c>
      <c r="F45" s="66"/>
      <c r="G45" s="66"/>
      <c r="H45" s="66"/>
      <c r="I45" s="58">
        <f t="shared" si="1"/>
        <v>0</v>
      </c>
      <c r="J45" s="58">
        <f t="shared" si="2"/>
        <v>0</v>
      </c>
      <c r="K45" s="67">
        <f t="shared" si="3"/>
        <v>0</v>
      </c>
      <c r="L45" s="68"/>
    </row>
    <row r="46" s="33" customFormat="1" ht="48" outlineLevel="2" spans="1:12">
      <c r="A46" s="63">
        <f t="shared" si="0"/>
        <v>41</v>
      </c>
      <c r="B46" s="64" t="s">
        <v>612</v>
      </c>
      <c r="C46" s="65" t="s">
        <v>613</v>
      </c>
      <c r="D46" s="54" t="s">
        <v>603</v>
      </c>
      <c r="E46" s="55">
        <v>21</v>
      </c>
      <c r="F46" s="66"/>
      <c r="G46" s="66"/>
      <c r="H46" s="66"/>
      <c r="I46" s="58">
        <f t="shared" si="1"/>
        <v>0</v>
      </c>
      <c r="J46" s="58">
        <f t="shared" si="2"/>
        <v>0</v>
      </c>
      <c r="K46" s="67">
        <f t="shared" si="3"/>
        <v>0</v>
      </c>
      <c r="L46" s="68"/>
    </row>
    <row r="47" s="33" customFormat="1" ht="36" outlineLevel="2" spans="1:12">
      <c r="A47" s="63">
        <f t="shared" si="0"/>
        <v>42</v>
      </c>
      <c r="B47" s="64" t="s">
        <v>614</v>
      </c>
      <c r="C47" s="65" t="s">
        <v>615</v>
      </c>
      <c r="D47" s="54" t="s">
        <v>603</v>
      </c>
      <c r="E47" s="55">
        <v>1265.2</v>
      </c>
      <c r="F47" s="66"/>
      <c r="G47" s="66"/>
      <c r="H47" s="66"/>
      <c r="I47" s="58">
        <f t="shared" si="1"/>
        <v>0</v>
      </c>
      <c r="J47" s="58">
        <f t="shared" si="2"/>
        <v>0</v>
      </c>
      <c r="K47" s="67">
        <f t="shared" si="3"/>
        <v>0</v>
      </c>
      <c r="L47" s="68"/>
    </row>
    <row r="48" s="33" customFormat="1" ht="60" outlineLevel="2" spans="1:12">
      <c r="A48" s="63">
        <f t="shared" si="0"/>
        <v>43</v>
      </c>
      <c r="B48" s="64" t="s">
        <v>616</v>
      </c>
      <c r="C48" s="65" t="s">
        <v>617</v>
      </c>
      <c r="D48" s="54" t="s">
        <v>65</v>
      </c>
      <c r="E48" s="55">
        <v>202.675</v>
      </c>
      <c r="F48" s="66"/>
      <c r="G48" s="66"/>
      <c r="H48" s="66"/>
      <c r="I48" s="58">
        <f t="shared" si="1"/>
        <v>0</v>
      </c>
      <c r="J48" s="58">
        <f t="shared" si="2"/>
        <v>0</v>
      </c>
      <c r="K48" s="67">
        <f t="shared" si="3"/>
        <v>0</v>
      </c>
      <c r="L48" s="68"/>
    </row>
    <row r="49" s="33" customFormat="1" ht="60" outlineLevel="2" spans="1:12">
      <c r="A49" s="63">
        <f t="shared" si="0"/>
        <v>44</v>
      </c>
      <c r="B49" s="64" t="s">
        <v>618</v>
      </c>
      <c r="C49" s="65" t="s">
        <v>619</v>
      </c>
      <c r="D49" s="54" t="s">
        <v>65</v>
      </c>
      <c r="E49" s="55">
        <v>10.704</v>
      </c>
      <c r="F49" s="66"/>
      <c r="G49" s="66"/>
      <c r="H49" s="66"/>
      <c r="I49" s="58">
        <f t="shared" si="1"/>
        <v>0</v>
      </c>
      <c r="J49" s="58">
        <f t="shared" si="2"/>
        <v>0</v>
      </c>
      <c r="K49" s="67">
        <f t="shared" si="3"/>
        <v>0</v>
      </c>
      <c r="L49" s="68"/>
    </row>
    <row r="50" s="33" customFormat="1" ht="72" outlineLevel="2" spans="1:12">
      <c r="A50" s="63">
        <f t="shared" si="0"/>
        <v>45</v>
      </c>
      <c r="B50" s="64" t="s">
        <v>620</v>
      </c>
      <c r="C50" s="65" t="s">
        <v>621</v>
      </c>
      <c r="D50" s="54" t="s">
        <v>65</v>
      </c>
      <c r="E50" s="55">
        <v>13851.429</v>
      </c>
      <c r="F50" s="66"/>
      <c r="G50" s="66"/>
      <c r="H50" s="66"/>
      <c r="I50" s="58">
        <f t="shared" si="1"/>
        <v>0</v>
      </c>
      <c r="J50" s="58">
        <f t="shared" si="2"/>
        <v>0</v>
      </c>
      <c r="K50" s="67">
        <f t="shared" si="3"/>
        <v>0</v>
      </c>
      <c r="L50" s="68"/>
    </row>
    <row r="51" s="33" customFormat="1" ht="72" outlineLevel="2" spans="1:12">
      <c r="A51" s="63">
        <f t="shared" si="0"/>
        <v>46</v>
      </c>
      <c r="B51" s="64" t="s">
        <v>622</v>
      </c>
      <c r="C51" s="65" t="s">
        <v>623</v>
      </c>
      <c r="D51" s="54" t="s">
        <v>65</v>
      </c>
      <c r="E51" s="55">
        <v>2897.412</v>
      </c>
      <c r="F51" s="66"/>
      <c r="G51" s="66"/>
      <c r="H51" s="66"/>
      <c r="I51" s="58">
        <f t="shared" si="1"/>
        <v>0</v>
      </c>
      <c r="J51" s="58">
        <f t="shared" si="2"/>
        <v>0</v>
      </c>
      <c r="K51" s="67">
        <f t="shared" si="3"/>
        <v>0</v>
      </c>
      <c r="L51" s="68"/>
    </row>
    <row r="52" s="33" customFormat="1" ht="72" outlineLevel="2" spans="1:12">
      <c r="A52" s="63">
        <f t="shared" si="0"/>
        <v>47</v>
      </c>
      <c r="B52" s="64" t="s">
        <v>624</v>
      </c>
      <c r="C52" s="65" t="s">
        <v>625</v>
      </c>
      <c r="D52" s="54" t="s">
        <v>65</v>
      </c>
      <c r="E52" s="55">
        <v>691.463</v>
      </c>
      <c r="F52" s="66"/>
      <c r="G52" s="66"/>
      <c r="H52" s="66"/>
      <c r="I52" s="58">
        <f t="shared" si="1"/>
        <v>0</v>
      </c>
      <c r="J52" s="58">
        <f t="shared" si="2"/>
        <v>0</v>
      </c>
      <c r="K52" s="67">
        <f t="shared" si="3"/>
        <v>0</v>
      </c>
      <c r="L52" s="68"/>
    </row>
    <row r="53" s="33" customFormat="1" ht="72" outlineLevel="2" spans="1:12">
      <c r="A53" s="63">
        <f t="shared" si="0"/>
        <v>48</v>
      </c>
      <c r="B53" s="64" t="s">
        <v>626</v>
      </c>
      <c r="C53" s="65" t="s">
        <v>627</v>
      </c>
      <c r="D53" s="54" t="s">
        <v>65</v>
      </c>
      <c r="E53" s="55">
        <v>54.098</v>
      </c>
      <c r="F53" s="66"/>
      <c r="G53" s="66"/>
      <c r="H53" s="66"/>
      <c r="I53" s="58">
        <f t="shared" si="1"/>
        <v>0</v>
      </c>
      <c r="J53" s="58">
        <f t="shared" si="2"/>
        <v>0</v>
      </c>
      <c r="K53" s="67">
        <f t="shared" si="3"/>
        <v>0</v>
      </c>
      <c r="L53" s="68"/>
    </row>
    <row r="54" s="33" customFormat="1" ht="72" outlineLevel="2" spans="1:12">
      <c r="A54" s="63">
        <f t="shared" si="0"/>
        <v>49</v>
      </c>
      <c r="B54" s="64" t="s">
        <v>628</v>
      </c>
      <c r="C54" s="65" t="s">
        <v>629</v>
      </c>
      <c r="D54" s="54" t="s">
        <v>65</v>
      </c>
      <c r="E54" s="55">
        <v>160.689</v>
      </c>
      <c r="F54" s="66"/>
      <c r="G54" s="66"/>
      <c r="H54" s="66"/>
      <c r="I54" s="58">
        <f t="shared" si="1"/>
        <v>0</v>
      </c>
      <c r="J54" s="58">
        <f t="shared" si="2"/>
        <v>0</v>
      </c>
      <c r="K54" s="67">
        <f t="shared" si="3"/>
        <v>0</v>
      </c>
      <c r="L54" s="68"/>
    </row>
    <row r="55" s="33" customFormat="1" ht="72" outlineLevel="2" spans="1:12">
      <c r="A55" s="63">
        <f t="shared" si="0"/>
        <v>50</v>
      </c>
      <c r="B55" s="64" t="s">
        <v>630</v>
      </c>
      <c r="C55" s="65" t="s">
        <v>631</v>
      </c>
      <c r="D55" s="54" t="s">
        <v>65</v>
      </c>
      <c r="E55" s="55">
        <v>4671.412</v>
      </c>
      <c r="F55" s="66"/>
      <c r="G55" s="66"/>
      <c r="H55" s="66"/>
      <c r="I55" s="58">
        <f t="shared" si="1"/>
        <v>0</v>
      </c>
      <c r="J55" s="58">
        <f t="shared" si="2"/>
        <v>0</v>
      </c>
      <c r="K55" s="67">
        <f t="shared" si="3"/>
        <v>0</v>
      </c>
      <c r="L55" s="68"/>
    </row>
    <row r="56" s="33" customFormat="1" ht="72" outlineLevel="2" spans="1:12">
      <c r="A56" s="63">
        <f t="shared" si="0"/>
        <v>51</v>
      </c>
      <c r="B56" s="64" t="s">
        <v>632</v>
      </c>
      <c r="C56" s="65" t="s">
        <v>633</v>
      </c>
      <c r="D56" s="54" t="s">
        <v>65</v>
      </c>
      <c r="E56" s="55">
        <v>3444.294</v>
      </c>
      <c r="F56" s="66"/>
      <c r="G56" s="66"/>
      <c r="H56" s="66"/>
      <c r="I56" s="58">
        <f t="shared" si="1"/>
        <v>0</v>
      </c>
      <c r="J56" s="58">
        <f t="shared" si="2"/>
        <v>0</v>
      </c>
      <c r="K56" s="67">
        <f t="shared" si="3"/>
        <v>0</v>
      </c>
      <c r="L56" s="68"/>
    </row>
    <row r="57" s="33" customFormat="1" ht="72" outlineLevel="2" spans="1:12">
      <c r="A57" s="63">
        <f t="shared" si="0"/>
        <v>52</v>
      </c>
      <c r="B57" s="64" t="s">
        <v>634</v>
      </c>
      <c r="C57" s="65" t="s">
        <v>635</v>
      </c>
      <c r="D57" s="54" t="s">
        <v>65</v>
      </c>
      <c r="E57" s="55">
        <v>1559.037</v>
      </c>
      <c r="F57" s="66"/>
      <c r="G57" s="66"/>
      <c r="H57" s="66"/>
      <c r="I57" s="58">
        <f t="shared" si="1"/>
        <v>0</v>
      </c>
      <c r="J57" s="58">
        <f t="shared" si="2"/>
        <v>0</v>
      </c>
      <c r="K57" s="67">
        <f t="shared" si="3"/>
        <v>0</v>
      </c>
      <c r="L57" s="68"/>
    </row>
    <row r="58" s="33" customFormat="1" ht="72" outlineLevel="2" spans="1:12">
      <c r="A58" s="63">
        <f t="shared" si="0"/>
        <v>53</v>
      </c>
      <c r="B58" s="64" t="s">
        <v>636</v>
      </c>
      <c r="C58" s="65" t="s">
        <v>637</v>
      </c>
      <c r="D58" s="54" t="s">
        <v>65</v>
      </c>
      <c r="E58" s="55">
        <v>156.347</v>
      </c>
      <c r="F58" s="66"/>
      <c r="G58" s="66"/>
      <c r="H58" s="66"/>
      <c r="I58" s="58">
        <f t="shared" si="1"/>
        <v>0</v>
      </c>
      <c r="J58" s="58">
        <f t="shared" si="2"/>
        <v>0</v>
      </c>
      <c r="K58" s="67">
        <f t="shared" si="3"/>
        <v>0</v>
      </c>
      <c r="L58" s="68"/>
    </row>
    <row r="59" s="33" customFormat="1" ht="72" outlineLevel="2" spans="1:12">
      <c r="A59" s="63">
        <f t="shared" si="0"/>
        <v>54</v>
      </c>
      <c r="B59" s="64" t="s">
        <v>638</v>
      </c>
      <c r="C59" s="65" t="s">
        <v>639</v>
      </c>
      <c r="D59" s="54" t="s">
        <v>65</v>
      </c>
      <c r="E59" s="55">
        <v>423.135</v>
      </c>
      <c r="F59" s="66"/>
      <c r="G59" s="66"/>
      <c r="H59" s="66"/>
      <c r="I59" s="58">
        <f t="shared" si="1"/>
        <v>0</v>
      </c>
      <c r="J59" s="58">
        <f t="shared" si="2"/>
        <v>0</v>
      </c>
      <c r="K59" s="67">
        <f t="shared" si="3"/>
        <v>0</v>
      </c>
      <c r="L59" s="68"/>
    </row>
    <row r="60" s="33" customFormat="1" ht="48" outlineLevel="2" spans="1:12">
      <c r="A60" s="63">
        <f t="shared" si="0"/>
        <v>55</v>
      </c>
      <c r="B60" s="64" t="s">
        <v>640</v>
      </c>
      <c r="C60" s="65" t="s">
        <v>641</v>
      </c>
      <c r="D60" s="54" t="s">
        <v>65</v>
      </c>
      <c r="E60" s="55">
        <v>55.771</v>
      </c>
      <c r="F60" s="66"/>
      <c r="G60" s="66"/>
      <c r="H60" s="66"/>
      <c r="I60" s="58">
        <f t="shared" si="1"/>
        <v>0</v>
      </c>
      <c r="J60" s="58">
        <f t="shared" si="2"/>
        <v>0</v>
      </c>
      <c r="K60" s="67">
        <f t="shared" si="3"/>
        <v>0</v>
      </c>
      <c r="L60" s="68"/>
    </row>
    <row r="61" s="33" customFormat="1" ht="48" outlineLevel="2" spans="1:12">
      <c r="A61" s="63">
        <f t="shared" si="0"/>
        <v>56</v>
      </c>
      <c r="B61" s="64" t="s">
        <v>642</v>
      </c>
      <c r="C61" s="65" t="s">
        <v>643</v>
      </c>
      <c r="D61" s="54" t="s">
        <v>65</v>
      </c>
      <c r="E61" s="55">
        <v>2574.751</v>
      </c>
      <c r="F61" s="66"/>
      <c r="G61" s="66"/>
      <c r="H61" s="66"/>
      <c r="I61" s="58">
        <f t="shared" si="1"/>
        <v>0</v>
      </c>
      <c r="J61" s="58">
        <f t="shared" si="2"/>
        <v>0</v>
      </c>
      <c r="K61" s="67">
        <f t="shared" si="3"/>
        <v>0</v>
      </c>
      <c r="L61" s="68"/>
    </row>
    <row r="62" s="33" customFormat="1" ht="48" outlineLevel="2" spans="1:12">
      <c r="A62" s="63">
        <f t="shared" si="0"/>
        <v>57</v>
      </c>
      <c r="B62" s="64" t="s">
        <v>644</v>
      </c>
      <c r="C62" s="65" t="s">
        <v>645</v>
      </c>
      <c r="D62" s="54" t="s">
        <v>65</v>
      </c>
      <c r="E62" s="55">
        <v>30.082</v>
      </c>
      <c r="F62" s="66"/>
      <c r="G62" s="66"/>
      <c r="H62" s="66"/>
      <c r="I62" s="58">
        <f t="shared" si="1"/>
        <v>0</v>
      </c>
      <c r="J62" s="58">
        <f t="shared" si="2"/>
        <v>0</v>
      </c>
      <c r="K62" s="67">
        <f t="shared" si="3"/>
        <v>0</v>
      </c>
      <c r="L62" s="68"/>
    </row>
    <row r="63" s="33" customFormat="1" ht="48" outlineLevel="2" spans="1:12">
      <c r="A63" s="63">
        <f t="shared" si="0"/>
        <v>58</v>
      </c>
      <c r="B63" s="64" t="s">
        <v>646</v>
      </c>
      <c r="C63" s="65" t="s">
        <v>647</v>
      </c>
      <c r="D63" s="54" t="s">
        <v>65</v>
      </c>
      <c r="E63" s="55">
        <v>138.293</v>
      </c>
      <c r="F63" s="66"/>
      <c r="G63" s="66"/>
      <c r="H63" s="66"/>
      <c r="I63" s="58">
        <f t="shared" si="1"/>
        <v>0</v>
      </c>
      <c r="J63" s="58">
        <f t="shared" si="2"/>
        <v>0</v>
      </c>
      <c r="K63" s="67">
        <f t="shared" si="3"/>
        <v>0</v>
      </c>
      <c r="L63" s="68"/>
    </row>
    <row r="64" s="33" customFormat="1" ht="48" outlineLevel="2" spans="1:12">
      <c r="A64" s="63">
        <f t="shared" si="0"/>
        <v>59</v>
      </c>
      <c r="B64" s="64" t="s">
        <v>648</v>
      </c>
      <c r="C64" s="65" t="s">
        <v>649</v>
      </c>
      <c r="D64" s="54" t="s">
        <v>65</v>
      </c>
      <c r="E64" s="55">
        <v>10.82</v>
      </c>
      <c r="F64" s="66"/>
      <c r="G64" s="66"/>
      <c r="H64" s="66"/>
      <c r="I64" s="58">
        <f t="shared" si="1"/>
        <v>0</v>
      </c>
      <c r="J64" s="58">
        <f t="shared" si="2"/>
        <v>0</v>
      </c>
      <c r="K64" s="67">
        <f t="shared" si="3"/>
        <v>0</v>
      </c>
      <c r="L64" s="68"/>
    </row>
    <row r="65" s="33" customFormat="1" ht="48" outlineLevel="2" spans="1:12">
      <c r="A65" s="63">
        <f t="shared" si="0"/>
        <v>60</v>
      </c>
      <c r="B65" s="64" t="s">
        <v>650</v>
      </c>
      <c r="C65" s="65" t="s">
        <v>651</v>
      </c>
      <c r="D65" s="54" t="s">
        <v>65</v>
      </c>
      <c r="E65" s="55">
        <v>46.675</v>
      </c>
      <c r="F65" s="66"/>
      <c r="G65" s="66"/>
      <c r="H65" s="66"/>
      <c r="I65" s="58">
        <f t="shared" si="1"/>
        <v>0</v>
      </c>
      <c r="J65" s="58">
        <f t="shared" si="2"/>
        <v>0</v>
      </c>
      <c r="K65" s="67">
        <f t="shared" si="3"/>
        <v>0</v>
      </c>
      <c r="L65" s="68"/>
    </row>
    <row r="66" s="33" customFormat="1" ht="48" outlineLevel="2" spans="1:12">
      <c r="A66" s="63">
        <f t="shared" si="0"/>
        <v>61</v>
      </c>
      <c r="B66" s="64" t="s">
        <v>652</v>
      </c>
      <c r="C66" s="65" t="s">
        <v>653</v>
      </c>
      <c r="D66" s="54" t="s">
        <v>65</v>
      </c>
      <c r="E66" s="55">
        <v>144.983</v>
      </c>
      <c r="F66" s="66"/>
      <c r="G66" s="66"/>
      <c r="H66" s="66"/>
      <c r="I66" s="58">
        <f t="shared" si="1"/>
        <v>0</v>
      </c>
      <c r="J66" s="58">
        <f t="shared" si="2"/>
        <v>0</v>
      </c>
      <c r="K66" s="67">
        <f t="shared" si="3"/>
        <v>0</v>
      </c>
      <c r="L66" s="68"/>
    </row>
    <row r="67" s="33" customFormat="1" ht="48" outlineLevel="2" spans="1:12">
      <c r="A67" s="63">
        <f t="shared" si="0"/>
        <v>62</v>
      </c>
      <c r="B67" s="64" t="s">
        <v>654</v>
      </c>
      <c r="C67" s="65" t="s">
        <v>655</v>
      </c>
      <c r="D67" s="54" t="s">
        <v>65</v>
      </c>
      <c r="E67" s="55">
        <v>935.722</v>
      </c>
      <c r="F67" s="66"/>
      <c r="G67" s="66"/>
      <c r="H67" s="66"/>
      <c r="I67" s="58">
        <f t="shared" si="1"/>
        <v>0</v>
      </c>
      <c r="J67" s="58">
        <f t="shared" si="2"/>
        <v>0</v>
      </c>
      <c r="K67" s="67">
        <f t="shared" si="3"/>
        <v>0</v>
      </c>
      <c r="L67" s="68"/>
    </row>
    <row r="68" s="33" customFormat="1" ht="48" outlineLevel="2" spans="1:12">
      <c r="A68" s="63">
        <f t="shared" si="0"/>
        <v>63</v>
      </c>
      <c r="B68" s="64" t="s">
        <v>656</v>
      </c>
      <c r="C68" s="65" t="s">
        <v>657</v>
      </c>
      <c r="D68" s="54" t="s">
        <v>65</v>
      </c>
      <c r="E68" s="55">
        <v>1584</v>
      </c>
      <c r="F68" s="66"/>
      <c r="G68" s="66"/>
      <c r="H68" s="66"/>
      <c r="I68" s="58">
        <f t="shared" si="1"/>
        <v>0</v>
      </c>
      <c r="J68" s="58">
        <f t="shared" si="2"/>
        <v>0</v>
      </c>
      <c r="K68" s="67">
        <f t="shared" si="3"/>
        <v>0</v>
      </c>
      <c r="L68" s="68"/>
    </row>
    <row r="69" s="33" customFormat="1" ht="48" outlineLevel="2" spans="1:12">
      <c r="A69" s="63">
        <f t="shared" si="0"/>
        <v>64</v>
      </c>
      <c r="B69" s="64" t="s">
        <v>658</v>
      </c>
      <c r="C69" s="65" t="s">
        <v>659</v>
      </c>
      <c r="D69" s="54" t="s">
        <v>65</v>
      </c>
      <c r="E69" s="55">
        <v>124.65</v>
      </c>
      <c r="F69" s="66"/>
      <c r="G69" s="66"/>
      <c r="H69" s="66"/>
      <c r="I69" s="58">
        <f t="shared" si="1"/>
        <v>0</v>
      </c>
      <c r="J69" s="58">
        <f t="shared" si="2"/>
        <v>0</v>
      </c>
      <c r="K69" s="67">
        <f t="shared" si="3"/>
        <v>0</v>
      </c>
      <c r="L69" s="68"/>
    </row>
    <row r="70" s="33" customFormat="1" ht="48" outlineLevel="2" spans="1:12">
      <c r="A70" s="63">
        <f t="shared" ref="A70:A74" si="4">A69+1</f>
        <v>65</v>
      </c>
      <c r="B70" s="64" t="s">
        <v>660</v>
      </c>
      <c r="C70" s="65" t="s">
        <v>661</v>
      </c>
      <c r="D70" s="54" t="s">
        <v>65</v>
      </c>
      <c r="E70" s="55">
        <v>47</v>
      </c>
      <c r="F70" s="66"/>
      <c r="G70" s="66"/>
      <c r="H70" s="66"/>
      <c r="I70" s="58">
        <f t="shared" ref="I70:I74" si="5">(F70+G70+H70)*$I$3</f>
        <v>0</v>
      </c>
      <c r="J70" s="58">
        <f t="shared" ref="J70:J74" si="6">F70+G70+H70+I70</f>
        <v>0</v>
      </c>
      <c r="K70" s="67">
        <f t="shared" ref="K70:K78" si="7">ROUND(E70*J70,2)</f>
        <v>0</v>
      </c>
      <c r="L70" s="68"/>
    </row>
    <row r="71" s="33" customFormat="1" ht="60" outlineLevel="2" spans="1:12">
      <c r="A71" s="63">
        <f t="shared" si="4"/>
        <v>66</v>
      </c>
      <c r="B71" s="64" t="s">
        <v>662</v>
      </c>
      <c r="C71" s="65" t="s">
        <v>663</v>
      </c>
      <c r="D71" s="54" t="s">
        <v>603</v>
      </c>
      <c r="E71" s="55">
        <v>1</v>
      </c>
      <c r="F71" s="66"/>
      <c r="G71" s="66"/>
      <c r="H71" s="66"/>
      <c r="I71" s="58">
        <f t="shared" si="5"/>
        <v>0</v>
      </c>
      <c r="J71" s="58">
        <f t="shared" si="6"/>
        <v>0</v>
      </c>
      <c r="K71" s="67">
        <f t="shared" si="7"/>
        <v>0</v>
      </c>
      <c r="L71" s="68"/>
    </row>
    <row r="72" s="33" customFormat="1" ht="48" outlineLevel="2" spans="1:12">
      <c r="A72" s="63">
        <f t="shared" si="4"/>
        <v>67</v>
      </c>
      <c r="B72" s="64" t="s">
        <v>664</v>
      </c>
      <c r="C72" s="65" t="s">
        <v>665</v>
      </c>
      <c r="D72" s="54" t="s">
        <v>603</v>
      </c>
      <c r="E72" s="55">
        <v>8</v>
      </c>
      <c r="F72" s="66"/>
      <c r="G72" s="66"/>
      <c r="H72" s="66"/>
      <c r="I72" s="58">
        <f t="shared" si="5"/>
        <v>0</v>
      </c>
      <c r="J72" s="58">
        <f t="shared" si="6"/>
        <v>0</v>
      </c>
      <c r="K72" s="67">
        <f t="shared" si="7"/>
        <v>0</v>
      </c>
      <c r="L72" s="68"/>
    </row>
    <row r="73" s="33" customFormat="1" ht="30" customHeight="1" outlineLevel="2" spans="1:12">
      <c r="A73" s="63">
        <f t="shared" si="4"/>
        <v>68</v>
      </c>
      <c r="B73" s="64" t="s">
        <v>666</v>
      </c>
      <c r="C73" s="65" t="s">
        <v>667</v>
      </c>
      <c r="D73" s="54" t="s">
        <v>603</v>
      </c>
      <c r="E73" s="55">
        <v>3</v>
      </c>
      <c r="F73" s="66"/>
      <c r="G73" s="66"/>
      <c r="H73" s="66"/>
      <c r="I73" s="58">
        <f t="shared" si="5"/>
        <v>0</v>
      </c>
      <c r="J73" s="58">
        <f t="shared" si="6"/>
        <v>0</v>
      </c>
      <c r="K73" s="67">
        <f t="shared" si="7"/>
        <v>0</v>
      </c>
      <c r="L73" s="68"/>
    </row>
    <row r="74" s="33" customFormat="1" ht="30" customHeight="1" outlineLevel="2" spans="1:12">
      <c r="A74" s="63">
        <f t="shared" si="4"/>
        <v>69</v>
      </c>
      <c r="B74" s="64" t="s">
        <v>668</v>
      </c>
      <c r="C74" s="65" t="s">
        <v>669</v>
      </c>
      <c r="D74" s="54" t="s">
        <v>603</v>
      </c>
      <c r="E74" s="55">
        <v>2</v>
      </c>
      <c r="F74" s="66"/>
      <c r="G74" s="66"/>
      <c r="H74" s="66"/>
      <c r="I74" s="58">
        <f t="shared" si="5"/>
        <v>0</v>
      </c>
      <c r="J74" s="58">
        <f t="shared" si="6"/>
        <v>0</v>
      </c>
      <c r="K74" s="67">
        <f t="shared" si="7"/>
        <v>0</v>
      </c>
      <c r="L74" s="68"/>
    </row>
    <row r="75" ht="20" customHeight="1" outlineLevel="1" spans="1:12">
      <c r="A75" s="69"/>
      <c r="B75" s="70" t="s">
        <v>670</v>
      </c>
      <c r="C75" s="71"/>
      <c r="D75" s="72"/>
      <c r="E75" s="55"/>
      <c r="F75" s="73"/>
      <c r="G75" s="73"/>
      <c r="H75" s="73"/>
      <c r="I75" s="74"/>
      <c r="J75" s="74"/>
      <c r="K75" s="59">
        <f>SUM(K76:K78)</f>
        <v>0</v>
      </c>
      <c r="L75" s="69"/>
    </row>
    <row r="76" s="33" customFormat="1" ht="60" outlineLevel="2" spans="1:12">
      <c r="A76" s="63">
        <f t="shared" ref="A76:A78" si="8">A75+1</f>
        <v>1</v>
      </c>
      <c r="B76" s="64" t="s">
        <v>533</v>
      </c>
      <c r="C76" s="65" t="s">
        <v>534</v>
      </c>
      <c r="D76" s="54" t="s">
        <v>151</v>
      </c>
      <c r="E76" s="55">
        <v>21</v>
      </c>
      <c r="F76" s="66"/>
      <c r="G76" s="66"/>
      <c r="H76" s="66"/>
      <c r="I76" s="58">
        <f t="shared" ref="I76:I139" si="9">(F76+G76+H76)*$I$3</f>
        <v>0</v>
      </c>
      <c r="J76" s="58">
        <f t="shared" ref="J76:J78" si="10">F76+G76+H76+I76</f>
        <v>0</v>
      </c>
      <c r="K76" s="67">
        <f t="shared" si="7"/>
        <v>0</v>
      </c>
      <c r="L76" s="68"/>
    </row>
    <row r="77" s="33" customFormat="1" ht="72" outlineLevel="2" spans="1:12">
      <c r="A77" s="63">
        <f t="shared" si="8"/>
        <v>2</v>
      </c>
      <c r="B77" s="64" t="s">
        <v>577</v>
      </c>
      <c r="C77" s="65" t="s">
        <v>578</v>
      </c>
      <c r="D77" s="54" t="s">
        <v>65</v>
      </c>
      <c r="E77" s="55">
        <v>13.6</v>
      </c>
      <c r="F77" s="66"/>
      <c r="G77" s="66"/>
      <c r="H77" s="66"/>
      <c r="I77" s="58">
        <f t="shared" si="9"/>
        <v>0</v>
      </c>
      <c r="J77" s="58">
        <f t="shared" si="10"/>
        <v>0</v>
      </c>
      <c r="K77" s="67">
        <f t="shared" si="7"/>
        <v>0</v>
      </c>
      <c r="L77" s="68"/>
    </row>
    <row r="78" s="33" customFormat="1" ht="72" outlineLevel="2" spans="1:12">
      <c r="A78" s="63">
        <f t="shared" si="8"/>
        <v>3</v>
      </c>
      <c r="B78" s="64" t="s">
        <v>585</v>
      </c>
      <c r="C78" s="65" t="s">
        <v>586</v>
      </c>
      <c r="D78" s="54" t="s">
        <v>65</v>
      </c>
      <c r="E78" s="55">
        <v>36.295</v>
      </c>
      <c r="F78" s="66"/>
      <c r="G78" s="66"/>
      <c r="H78" s="66"/>
      <c r="I78" s="58">
        <f t="shared" si="9"/>
        <v>0</v>
      </c>
      <c r="J78" s="58">
        <f t="shared" si="10"/>
        <v>0</v>
      </c>
      <c r="K78" s="67">
        <f t="shared" si="7"/>
        <v>0</v>
      </c>
      <c r="L78" s="68"/>
    </row>
    <row r="79" ht="20" customHeight="1" outlineLevel="1" spans="1:12">
      <c r="A79" s="69"/>
      <c r="B79" s="70" t="s">
        <v>671</v>
      </c>
      <c r="C79" s="71"/>
      <c r="D79" s="72"/>
      <c r="E79" s="55"/>
      <c r="F79" s="73"/>
      <c r="G79" s="73"/>
      <c r="H79" s="73"/>
      <c r="I79" s="58"/>
      <c r="J79" s="74"/>
      <c r="K79" s="75">
        <f>SUM(K80:K82)</f>
        <v>0</v>
      </c>
      <c r="L79" s="69"/>
    </row>
    <row r="80" s="33" customFormat="1" ht="60" outlineLevel="2" spans="1:12">
      <c r="A80" s="63">
        <f t="shared" ref="A80:A82" si="11">A79+1</f>
        <v>1</v>
      </c>
      <c r="B80" s="64" t="s">
        <v>533</v>
      </c>
      <c r="C80" s="65" t="s">
        <v>534</v>
      </c>
      <c r="D80" s="54" t="s">
        <v>151</v>
      </c>
      <c r="E80" s="55">
        <v>78</v>
      </c>
      <c r="F80" s="66"/>
      <c r="G80" s="66"/>
      <c r="H80" s="66"/>
      <c r="I80" s="58">
        <f t="shared" si="9"/>
        <v>0</v>
      </c>
      <c r="J80" s="58">
        <f t="shared" ref="J80:J82" si="12">F80+G80+H80+I80</f>
        <v>0</v>
      </c>
      <c r="K80" s="67">
        <f t="shared" ref="K80:K82" si="13">ROUND(E80*J80,2)</f>
        <v>0</v>
      </c>
      <c r="L80" s="68"/>
    </row>
    <row r="81" s="33" customFormat="1" ht="72" outlineLevel="2" spans="1:13">
      <c r="A81" s="63">
        <f t="shared" si="11"/>
        <v>2</v>
      </c>
      <c r="B81" s="64" t="s">
        <v>577</v>
      </c>
      <c r="C81" s="65" t="s">
        <v>578</v>
      </c>
      <c r="D81" s="54" t="s">
        <v>65</v>
      </c>
      <c r="E81" s="55">
        <v>40.8</v>
      </c>
      <c r="F81" s="66"/>
      <c r="G81" s="66"/>
      <c r="H81" s="66"/>
      <c r="I81" s="58">
        <f t="shared" si="9"/>
        <v>0</v>
      </c>
      <c r="J81" s="58">
        <f t="shared" si="12"/>
        <v>0</v>
      </c>
      <c r="K81" s="67">
        <f t="shared" si="13"/>
        <v>0</v>
      </c>
      <c r="L81" s="68"/>
    </row>
    <row r="82" s="33" customFormat="1" ht="72" outlineLevel="2" spans="1:13">
      <c r="A82" s="63">
        <f t="shared" si="11"/>
        <v>3</v>
      </c>
      <c r="B82" s="64" t="s">
        <v>585</v>
      </c>
      <c r="C82" s="65" t="s">
        <v>586</v>
      </c>
      <c r="D82" s="54" t="s">
        <v>65</v>
      </c>
      <c r="E82" s="55">
        <v>184.32</v>
      </c>
      <c r="F82" s="66"/>
      <c r="G82" s="66"/>
      <c r="H82" s="66"/>
      <c r="I82" s="58">
        <f t="shared" si="9"/>
        <v>0</v>
      </c>
      <c r="J82" s="58">
        <f t="shared" si="12"/>
        <v>0</v>
      </c>
      <c r="K82" s="67">
        <f t="shared" si="13"/>
        <v>0</v>
      </c>
      <c r="L82" s="68"/>
    </row>
    <row r="83" ht="20" customHeight="1" outlineLevel="1" spans="1:13">
      <c r="A83" s="69"/>
      <c r="B83" s="70" t="s">
        <v>672</v>
      </c>
      <c r="C83" s="71"/>
      <c r="D83" s="72"/>
      <c r="E83" s="55"/>
      <c r="F83" s="73"/>
      <c r="G83" s="73"/>
      <c r="H83" s="73"/>
      <c r="I83" s="58"/>
      <c r="J83" s="74"/>
      <c r="K83" s="75">
        <f>SUM(K84:K86)</f>
        <v>0</v>
      </c>
      <c r="L83" s="69"/>
    </row>
    <row r="84" s="33" customFormat="1" ht="60" outlineLevel="2" spans="1:13">
      <c r="A84" s="63">
        <f t="shared" ref="A84:A86" si="14">A83+1</f>
        <v>1</v>
      </c>
      <c r="B84" s="64" t="s">
        <v>549</v>
      </c>
      <c r="C84" s="65" t="s">
        <v>550</v>
      </c>
      <c r="D84" s="54" t="s">
        <v>151</v>
      </c>
      <c r="E84" s="55">
        <v>2</v>
      </c>
      <c r="F84" s="66"/>
      <c r="G84" s="66"/>
      <c r="H84" s="66"/>
      <c r="I84" s="58">
        <f t="shared" si="9"/>
        <v>0</v>
      </c>
      <c r="J84" s="58">
        <f t="shared" ref="J84:J86" si="15">F84+G84+H84+I84</f>
        <v>0</v>
      </c>
      <c r="K84" s="67">
        <f t="shared" ref="K84:K86" si="16">ROUND(E84*J84,2)</f>
        <v>0</v>
      </c>
      <c r="L84" s="68"/>
    </row>
    <row r="85" s="33" customFormat="1" ht="72" outlineLevel="2" spans="1:13">
      <c r="A85" s="63">
        <f t="shared" si="14"/>
        <v>2</v>
      </c>
      <c r="B85" s="64" t="s">
        <v>581</v>
      </c>
      <c r="C85" s="65" t="s">
        <v>582</v>
      </c>
      <c r="D85" s="54" t="s">
        <v>65</v>
      </c>
      <c r="E85" s="55">
        <v>6.98</v>
      </c>
      <c r="F85" s="66"/>
      <c r="G85" s="66"/>
      <c r="H85" s="66"/>
      <c r="I85" s="58">
        <f t="shared" si="9"/>
        <v>0</v>
      </c>
      <c r="J85" s="58">
        <f t="shared" si="15"/>
        <v>0</v>
      </c>
      <c r="K85" s="67">
        <f t="shared" si="16"/>
        <v>0</v>
      </c>
      <c r="L85" s="68"/>
    </row>
    <row r="86" s="33" customFormat="1" ht="72" outlineLevel="2" spans="1:13">
      <c r="A86" s="63">
        <f t="shared" si="14"/>
        <v>3</v>
      </c>
      <c r="B86" s="64" t="s">
        <v>585</v>
      </c>
      <c r="C86" s="65" t="s">
        <v>586</v>
      </c>
      <c r="D86" s="54" t="s">
        <v>65</v>
      </c>
      <c r="E86" s="55">
        <v>4.78</v>
      </c>
      <c r="F86" s="66"/>
      <c r="G86" s="66"/>
      <c r="H86" s="66"/>
      <c r="I86" s="58">
        <f t="shared" si="9"/>
        <v>0</v>
      </c>
      <c r="J86" s="58">
        <f t="shared" si="15"/>
        <v>0</v>
      </c>
      <c r="K86" s="67">
        <f t="shared" si="16"/>
        <v>0</v>
      </c>
      <c r="L86" s="68"/>
    </row>
    <row r="87" s="33" customFormat="1" ht="25" customHeight="1" spans="1:13">
      <c r="A87" s="76"/>
      <c r="B87" s="52" t="s">
        <v>673</v>
      </c>
      <c r="C87" s="77"/>
      <c r="D87" s="52"/>
      <c r="E87" s="78"/>
      <c r="F87" s="79"/>
      <c r="G87" s="79"/>
      <c r="H87" s="79"/>
      <c r="I87" s="58"/>
      <c r="J87" s="59"/>
      <c r="K87" s="59">
        <f>SUM(K88:K111)</f>
        <v>0</v>
      </c>
      <c r="L87" s="68"/>
    </row>
    <row r="88" s="33" customFormat="1" ht="53" customHeight="1" outlineLevel="2" spans="1:13">
      <c r="A88" s="63" t="s">
        <v>674</v>
      </c>
      <c r="B88" s="64" t="s">
        <v>675</v>
      </c>
      <c r="C88" s="65" t="s">
        <v>676</v>
      </c>
      <c r="D88" s="54" t="s">
        <v>603</v>
      </c>
      <c r="E88" s="55">
        <v>3</v>
      </c>
      <c r="F88" s="66"/>
      <c r="G88" s="66"/>
      <c r="H88" s="66"/>
      <c r="I88" s="58">
        <f t="shared" si="9"/>
        <v>0</v>
      </c>
      <c r="J88" s="58">
        <f t="shared" ref="J88:J111" si="17">F88+G88+H88+I88</f>
        <v>0</v>
      </c>
      <c r="K88" s="67">
        <f t="shared" ref="K88:K111" si="18">ROUND(E88*J88,2)</f>
        <v>0</v>
      </c>
      <c r="L88" s="68"/>
    </row>
    <row r="89" s="33" customFormat="1" ht="53" customHeight="1" outlineLevel="2" spans="1:13">
      <c r="A89" s="63">
        <f t="shared" ref="A89:A98" si="19">A88+1</f>
        <v>2</v>
      </c>
      <c r="B89" s="64" t="s">
        <v>677</v>
      </c>
      <c r="C89" s="65" t="s">
        <v>678</v>
      </c>
      <c r="D89" s="54" t="s">
        <v>603</v>
      </c>
      <c r="E89" s="55">
        <v>3</v>
      </c>
      <c r="F89" s="66"/>
      <c r="G89" s="66"/>
      <c r="H89" s="66"/>
      <c r="I89" s="58">
        <f t="shared" si="9"/>
        <v>0</v>
      </c>
      <c r="J89" s="58">
        <f t="shared" si="17"/>
        <v>0</v>
      </c>
      <c r="K89" s="67">
        <f t="shared" si="18"/>
        <v>0</v>
      </c>
      <c r="L89" s="68"/>
    </row>
    <row r="90" s="33" customFormat="1" ht="53" customHeight="1" outlineLevel="2" spans="1:13">
      <c r="A90" s="63">
        <f t="shared" si="19"/>
        <v>3</v>
      </c>
      <c r="B90" s="64" t="s">
        <v>679</v>
      </c>
      <c r="C90" s="65" t="s">
        <v>680</v>
      </c>
      <c r="D90" s="54" t="s">
        <v>603</v>
      </c>
      <c r="E90" s="55">
        <v>2</v>
      </c>
      <c r="F90" s="66"/>
      <c r="G90" s="66"/>
      <c r="H90" s="66"/>
      <c r="I90" s="58">
        <f t="shared" si="9"/>
        <v>0</v>
      </c>
      <c r="J90" s="58">
        <f t="shared" si="17"/>
        <v>0</v>
      </c>
      <c r="K90" s="67">
        <f t="shared" si="18"/>
        <v>0</v>
      </c>
      <c r="L90" s="68"/>
      <c r="M90" s="33">
        <v>1</v>
      </c>
    </row>
    <row r="91" s="33" customFormat="1" ht="53" customHeight="1" outlineLevel="2" spans="1:13">
      <c r="A91" s="63">
        <f t="shared" si="19"/>
        <v>4</v>
      </c>
      <c r="B91" s="64" t="s">
        <v>681</v>
      </c>
      <c r="C91" s="65" t="s">
        <v>682</v>
      </c>
      <c r="D91" s="54" t="s">
        <v>603</v>
      </c>
      <c r="E91" s="55">
        <f>+E90+E99</f>
        <v>6</v>
      </c>
      <c r="F91" s="66"/>
      <c r="G91" s="66"/>
      <c r="H91" s="66"/>
      <c r="I91" s="58">
        <f t="shared" si="9"/>
        <v>0</v>
      </c>
      <c r="J91" s="58">
        <f t="shared" si="17"/>
        <v>0</v>
      </c>
      <c r="K91" s="67">
        <f t="shared" si="18"/>
        <v>0</v>
      </c>
      <c r="L91" s="68"/>
    </row>
    <row r="92" s="33" customFormat="1" ht="49" customHeight="1" outlineLevel="2" spans="1:13">
      <c r="A92" s="63">
        <f t="shared" si="19"/>
        <v>5</v>
      </c>
      <c r="B92" s="64" t="s">
        <v>683</v>
      </c>
      <c r="C92" s="65" t="s">
        <v>684</v>
      </c>
      <c r="D92" s="54" t="s">
        <v>603</v>
      </c>
      <c r="E92" s="55">
        <v>7</v>
      </c>
      <c r="F92" s="66"/>
      <c r="G92" s="66"/>
      <c r="H92" s="66"/>
      <c r="I92" s="58">
        <f t="shared" si="9"/>
        <v>0</v>
      </c>
      <c r="J92" s="58">
        <f t="shared" si="17"/>
        <v>0</v>
      </c>
      <c r="K92" s="67">
        <f t="shared" si="18"/>
        <v>0</v>
      </c>
      <c r="L92" s="68"/>
    </row>
    <row r="93" s="33" customFormat="1" ht="49" customHeight="1" outlineLevel="2" spans="1:13">
      <c r="A93" s="63">
        <f t="shared" si="19"/>
        <v>6</v>
      </c>
      <c r="B93" s="64" t="s">
        <v>685</v>
      </c>
      <c r="C93" s="65" t="s">
        <v>686</v>
      </c>
      <c r="D93" s="54" t="s">
        <v>603</v>
      </c>
      <c r="E93" s="55">
        <v>1</v>
      </c>
      <c r="F93" s="66"/>
      <c r="G93" s="66"/>
      <c r="H93" s="66"/>
      <c r="I93" s="58">
        <f t="shared" si="9"/>
        <v>0</v>
      </c>
      <c r="J93" s="58">
        <f t="shared" si="17"/>
        <v>0</v>
      </c>
      <c r="K93" s="67">
        <f t="shared" si="18"/>
        <v>0</v>
      </c>
      <c r="L93" s="68"/>
    </row>
    <row r="94" s="33" customFormat="1" ht="49" customHeight="1" outlineLevel="2" spans="1:13">
      <c r="A94" s="63">
        <f t="shared" si="19"/>
        <v>7</v>
      </c>
      <c r="B94" s="64" t="s">
        <v>687</v>
      </c>
      <c r="C94" s="65" t="s">
        <v>688</v>
      </c>
      <c r="D94" s="54" t="s">
        <v>603</v>
      </c>
      <c r="E94" s="55">
        <v>4</v>
      </c>
      <c r="F94" s="66"/>
      <c r="G94" s="66"/>
      <c r="H94" s="66"/>
      <c r="I94" s="58">
        <f t="shared" si="9"/>
        <v>0</v>
      </c>
      <c r="J94" s="58">
        <f t="shared" si="17"/>
        <v>0</v>
      </c>
      <c r="K94" s="67">
        <f t="shared" si="18"/>
        <v>0</v>
      </c>
      <c r="L94" s="68"/>
    </row>
    <row r="95" s="33" customFormat="1" ht="48" outlineLevel="2" spans="1:13">
      <c r="A95" s="63">
        <f t="shared" si="19"/>
        <v>8</v>
      </c>
      <c r="B95" s="64" t="s">
        <v>689</v>
      </c>
      <c r="C95" s="65" t="s">
        <v>690</v>
      </c>
      <c r="D95" s="54" t="s">
        <v>603</v>
      </c>
      <c r="E95" s="55">
        <v>1</v>
      </c>
      <c r="F95" s="66"/>
      <c r="G95" s="66"/>
      <c r="H95" s="66"/>
      <c r="I95" s="58">
        <f t="shared" si="9"/>
        <v>0</v>
      </c>
      <c r="J95" s="58">
        <f t="shared" si="17"/>
        <v>0</v>
      </c>
      <c r="K95" s="67">
        <f t="shared" si="18"/>
        <v>0</v>
      </c>
      <c r="L95" s="68"/>
    </row>
    <row r="96" s="33" customFormat="1" ht="48" outlineLevel="2" spans="1:13">
      <c r="A96" s="63">
        <f t="shared" si="19"/>
        <v>9</v>
      </c>
      <c r="B96" s="64" t="s">
        <v>691</v>
      </c>
      <c r="C96" s="65" t="s">
        <v>692</v>
      </c>
      <c r="D96" s="54" t="s">
        <v>603</v>
      </c>
      <c r="E96" s="55">
        <v>2</v>
      </c>
      <c r="F96" s="66"/>
      <c r="G96" s="66"/>
      <c r="H96" s="66"/>
      <c r="I96" s="58">
        <f t="shared" si="9"/>
        <v>0</v>
      </c>
      <c r="J96" s="58">
        <f t="shared" si="17"/>
        <v>0</v>
      </c>
      <c r="K96" s="67">
        <f t="shared" si="18"/>
        <v>0</v>
      </c>
      <c r="L96" s="68"/>
    </row>
    <row r="97" s="33" customFormat="1" ht="48" outlineLevel="2" spans="1:12">
      <c r="A97" s="63">
        <f t="shared" si="19"/>
        <v>10</v>
      </c>
      <c r="B97" s="64" t="s">
        <v>693</v>
      </c>
      <c r="C97" s="65" t="s">
        <v>694</v>
      </c>
      <c r="D97" s="54" t="s">
        <v>151</v>
      </c>
      <c r="E97" s="55">
        <v>4</v>
      </c>
      <c r="F97" s="66"/>
      <c r="G97" s="66"/>
      <c r="H97" s="66"/>
      <c r="I97" s="58">
        <f t="shared" si="9"/>
        <v>0</v>
      </c>
      <c r="J97" s="58">
        <f t="shared" si="17"/>
        <v>0</v>
      </c>
      <c r="K97" s="67">
        <f t="shared" si="18"/>
        <v>0</v>
      </c>
      <c r="L97" s="68"/>
    </row>
    <row r="98" s="33" customFormat="1" ht="48" outlineLevel="2" spans="1:12">
      <c r="A98" s="63">
        <f t="shared" si="19"/>
        <v>11</v>
      </c>
      <c r="B98" s="64" t="s">
        <v>695</v>
      </c>
      <c r="C98" s="65" t="s">
        <v>696</v>
      </c>
      <c r="D98" s="54" t="s">
        <v>603</v>
      </c>
      <c r="E98" s="55">
        <v>14</v>
      </c>
      <c r="F98" s="66"/>
      <c r="G98" s="66"/>
      <c r="H98" s="66"/>
      <c r="I98" s="58">
        <f t="shared" si="9"/>
        <v>0</v>
      </c>
      <c r="J98" s="58">
        <f t="shared" si="17"/>
        <v>0</v>
      </c>
      <c r="K98" s="67">
        <f t="shared" si="18"/>
        <v>0</v>
      </c>
      <c r="L98" s="68"/>
    </row>
    <row r="99" s="33" customFormat="1" ht="51" customHeight="1" outlineLevel="2" spans="1:12">
      <c r="A99" s="63">
        <f>A97+1</f>
        <v>11</v>
      </c>
      <c r="B99" s="64" t="s">
        <v>697</v>
      </c>
      <c r="C99" s="65" t="s">
        <v>698</v>
      </c>
      <c r="D99" s="54" t="s">
        <v>603</v>
      </c>
      <c r="E99" s="55">
        <v>4</v>
      </c>
      <c r="F99" s="66"/>
      <c r="G99" s="66"/>
      <c r="H99" s="66"/>
      <c r="I99" s="58">
        <f t="shared" si="9"/>
        <v>0</v>
      </c>
      <c r="J99" s="58">
        <f t="shared" si="17"/>
        <v>0</v>
      </c>
      <c r="K99" s="67">
        <f t="shared" si="18"/>
        <v>0</v>
      </c>
      <c r="L99" s="68"/>
    </row>
    <row r="100" s="33" customFormat="1" ht="60" outlineLevel="2" spans="1:12">
      <c r="A100" s="63">
        <f t="shared" ref="A100:A111" si="20">A99+1</f>
        <v>12</v>
      </c>
      <c r="B100" s="64" t="s">
        <v>699</v>
      </c>
      <c r="C100" s="65" t="s">
        <v>700</v>
      </c>
      <c r="D100" s="54" t="s">
        <v>65</v>
      </c>
      <c r="E100" s="55">
        <v>172.166</v>
      </c>
      <c r="F100" s="66"/>
      <c r="G100" s="66"/>
      <c r="H100" s="66"/>
      <c r="I100" s="58">
        <f t="shared" si="9"/>
        <v>0</v>
      </c>
      <c r="J100" s="58">
        <f t="shared" si="17"/>
        <v>0</v>
      </c>
      <c r="K100" s="67">
        <f t="shared" si="18"/>
        <v>0</v>
      </c>
      <c r="L100" s="68"/>
    </row>
    <row r="101" s="33" customFormat="1" ht="60" outlineLevel="2" spans="1:12">
      <c r="A101" s="63">
        <f t="shared" si="20"/>
        <v>13</v>
      </c>
      <c r="B101" s="64" t="s">
        <v>701</v>
      </c>
      <c r="C101" s="65" t="s">
        <v>702</v>
      </c>
      <c r="D101" s="54" t="s">
        <v>65</v>
      </c>
      <c r="E101" s="55">
        <v>9.865</v>
      </c>
      <c r="F101" s="66"/>
      <c r="G101" s="66"/>
      <c r="H101" s="66"/>
      <c r="I101" s="58">
        <f t="shared" si="9"/>
        <v>0</v>
      </c>
      <c r="J101" s="58">
        <f t="shared" si="17"/>
        <v>0</v>
      </c>
      <c r="K101" s="67">
        <f t="shared" si="18"/>
        <v>0</v>
      </c>
      <c r="L101" s="68"/>
    </row>
    <row r="102" s="33" customFormat="1" ht="60" outlineLevel="2" spans="1:12">
      <c r="A102" s="63">
        <f t="shared" si="20"/>
        <v>14</v>
      </c>
      <c r="B102" s="64" t="s">
        <v>703</v>
      </c>
      <c r="C102" s="65" t="s">
        <v>704</v>
      </c>
      <c r="D102" s="54" t="s">
        <v>65</v>
      </c>
      <c r="E102" s="55">
        <v>23.265</v>
      </c>
      <c r="F102" s="66"/>
      <c r="G102" s="66"/>
      <c r="H102" s="66"/>
      <c r="I102" s="58">
        <f t="shared" si="9"/>
        <v>0</v>
      </c>
      <c r="J102" s="58">
        <f t="shared" si="17"/>
        <v>0</v>
      </c>
      <c r="K102" s="67">
        <f t="shared" si="18"/>
        <v>0</v>
      </c>
      <c r="L102" s="68"/>
    </row>
    <row r="103" s="33" customFormat="1" ht="60" outlineLevel="2" spans="1:12">
      <c r="A103" s="63">
        <f t="shared" si="20"/>
        <v>15</v>
      </c>
      <c r="B103" s="64" t="s">
        <v>705</v>
      </c>
      <c r="C103" s="65" t="s">
        <v>706</v>
      </c>
      <c r="D103" s="54" t="s">
        <v>65</v>
      </c>
      <c r="E103" s="55">
        <v>20.711</v>
      </c>
      <c r="F103" s="66"/>
      <c r="G103" s="66"/>
      <c r="H103" s="66"/>
      <c r="I103" s="58">
        <f t="shared" si="9"/>
        <v>0</v>
      </c>
      <c r="J103" s="58">
        <f t="shared" si="17"/>
        <v>0</v>
      </c>
      <c r="K103" s="67">
        <f t="shared" si="18"/>
        <v>0</v>
      </c>
      <c r="L103" s="68"/>
    </row>
    <row r="104" s="33" customFormat="1" ht="60" outlineLevel="2" spans="1:12">
      <c r="A104" s="63">
        <f t="shared" si="20"/>
        <v>16</v>
      </c>
      <c r="B104" s="64" t="s">
        <v>707</v>
      </c>
      <c r="C104" s="65" t="s">
        <v>708</v>
      </c>
      <c r="D104" s="54" t="s">
        <v>65</v>
      </c>
      <c r="E104" s="55">
        <v>12.595</v>
      </c>
      <c r="F104" s="66"/>
      <c r="G104" s="66"/>
      <c r="H104" s="66"/>
      <c r="I104" s="58">
        <f t="shared" si="9"/>
        <v>0</v>
      </c>
      <c r="J104" s="58">
        <f t="shared" si="17"/>
        <v>0</v>
      </c>
      <c r="K104" s="67">
        <f t="shared" si="18"/>
        <v>0</v>
      </c>
      <c r="L104" s="68"/>
    </row>
    <row r="105" s="33" customFormat="1" ht="60" outlineLevel="2" spans="1:12">
      <c r="A105" s="63">
        <f t="shared" si="20"/>
        <v>17</v>
      </c>
      <c r="B105" s="64" t="s">
        <v>709</v>
      </c>
      <c r="C105" s="65" t="s">
        <v>710</v>
      </c>
      <c r="D105" s="54" t="s">
        <v>65</v>
      </c>
      <c r="E105" s="55">
        <v>59.619</v>
      </c>
      <c r="F105" s="66"/>
      <c r="G105" s="66"/>
      <c r="H105" s="66"/>
      <c r="I105" s="58">
        <f t="shared" si="9"/>
        <v>0</v>
      </c>
      <c r="J105" s="58">
        <f t="shared" si="17"/>
        <v>0</v>
      </c>
      <c r="K105" s="67">
        <f t="shared" si="18"/>
        <v>0</v>
      </c>
      <c r="L105" s="68"/>
    </row>
    <row r="106" s="33" customFormat="1" ht="60" outlineLevel="2" spans="1:12">
      <c r="A106" s="63">
        <f t="shared" si="20"/>
        <v>18</v>
      </c>
      <c r="B106" s="64" t="s">
        <v>711</v>
      </c>
      <c r="C106" s="65" t="s">
        <v>712</v>
      </c>
      <c r="D106" s="54" t="s">
        <v>65</v>
      </c>
      <c r="E106" s="55">
        <v>11.64</v>
      </c>
      <c r="F106" s="66"/>
      <c r="G106" s="66"/>
      <c r="H106" s="66"/>
      <c r="I106" s="58">
        <f t="shared" si="9"/>
        <v>0</v>
      </c>
      <c r="J106" s="58">
        <f t="shared" si="17"/>
        <v>0</v>
      </c>
      <c r="K106" s="67">
        <f t="shared" si="18"/>
        <v>0</v>
      </c>
      <c r="L106" s="68"/>
    </row>
    <row r="107" s="33" customFormat="1" ht="60" outlineLevel="2" spans="1:12">
      <c r="A107" s="63">
        <f t="shared" si="20"/>
        <v>19</v>
      </c>
      <c r="B107" s="64" t="s">
        <v>713</v>
      </c>
      <c r="C107" s="65" t="s">
        <v>714</v>
      </c>
      <c r="D107" s="54" t="s">
        <v>65</v>
      </c>
      <c r="E107" s="55">
        <v>48.66</v>
      </c>
      <c r="F107" s="66"/>
      <c r="G107" s="66"/>
      <c r="H107" s="66"/>
      <c r="I107" s="58">
        <f t="shared" si="9"/>
        <v>0</v>
      </c>
      <c r="J107" s="58">
        <f t="shared" si="17"/>
        <v>0</v>
      </c>
      <c r="K107" s="67">
        <f t="shared" si="18"/>
        <v>0</v>
      </c>
      <c r="L107" s="68"/>
    </row>
    <row r="108" s="33" customFormat="1" ht="48" outlineLevel="2" spans="1:12">
      <c r="A108" s="63">
        <f t="shared" si="20"/>
        <v>20</v>
      </c>
      <c r="B108" s="64" t="s">
        <v>715</v>
      </c>
      <c r="C108" s="65" t="s">
        <v>716</v>
      </c>
      <c r="D108" s="54" t="s">
        <v>65</v>
      </c>
      <c r="E108" s="55">
        <v>42.534</v>
      </c>
      <c r="F108" s="66"/>
      <c r="G108" s="66"/>
      <c r="H108" s="66"/>
      <c r="I108" s="58">
        <f t="shared" si="9"/>
        <v>0</v>
      </c>
      <c r="J108" s="58">
        <f t="shared" si="17"/>
        <v>0</v>
      </c>
      <c r="K108" s="67">
        <f t="shared" si="18"/>
        <v>0</v>
      </c>
      <c r="L108" s="68"/>
    </row>
    <row r="109" s="33" customFormat="1" ht="48" outlineLevel="2" spans="1:12">
      <c r="A109" s="63">
        <f t="shared" si="20"/>
        <v>21</v>
      </c>
      <c r="B109" s="64" t="s">
        <v>717</v>
      </c>
      <c r="C109" s="65" t="s">
        <v>718</v>
      </c>
      <c r="D109" s="54" t="s">
        <v>65</v>
      </c>
      <c r="E109" s="55">
        <v>13.509</v>
      </c>
      <c r="F109" s="66"/>
      <c r="G109" s="66"/>
      <c r="H109" s="66"/>
      <c r="I109" s="58">
        <f t="shared" si="9"/>
        <v>0</v>
      </c>
      <c r="J109" s="58">
        <f t="shared" si="17"/>
        <v>0</v>
      </c>
      <c r="K109" s="67">
        <f t="shared" si="18"/>
        <v>0</v>
      </c>
      <c r="L109" s="68"/>
    </row>
    <row r="110" s="33" customFormat="1" ht="48" outlineLevel="2" spans="1:12">
      <c r="A110" s="63">
        <f t="shared" si="20"/>
        <v>22</v>
      </c>
      <c r="B110" s="64" t="s">
        <v>719</v>
      </c>
      <c r="C110" s="65" t="s">
        <v>720</v>
      </c>
      <c r="D110" s="54" t="s">
        <v>65</v>
      </c>
      <c r="E110" s="55">
        <v>121.478</v>
      </c>
      <c r="F110" s="66"/>
      <c r="G110" s="66"/>
      <c r="H110" s="66"/>
      <c r="I110" s="58">
        <f t="shared" si="9"/>
        <v>0</v>
      </c>
      <c r="J110" s="58">
        <f t="shared" si="17"/>
        <v>0</v>
      </c>
      <c r="K110" s="67">
        <f t="shared" si="18"/>
        <v>0</v>
      </c>
      <c r="L110" s="68"/>
    </row>
    <row r="111" s="33" customFormat="1" ht="48" outlineLevel="2" spans="1:12">
      <c r="A111" s="63">
        <f t="shared" si="20"/>
        <v>23</v>
      </c>
      <c r="B111" s="64" t="s">
        <v>721</v>
      </c>
      <c r="C111" s="65" t="s">
        <v>722</v>
      </c>
      <c r="D111" s="54" t="s">
        <v>603</v>
      </c>
      <c r="E111" s="55">
        <v>1</v>
      </c>
      <c r="F111" s="66"/>
      <c r="G111" s="66"/>
      <c r="H111" s="66"/>
      <c r="I111" s="58">
        <f t="shared" si="9"/>
        <v>0</v>
      </c>
      <c r="J111" s="58">
        <f t="shared" si="17"/>
        <v>0</v>
      </c>
      <c r="K111" s="67">
        <f t="shared" si="18"/>
        <v>0</v>
      </c>
      <c r="L111" s="68"/>
    </row>
    <row r="112" s="33" customFormat="1" ht="25" customHeight="1" spans="1:12">
      <c r="A112" s="76"/>
      <c r="B112" s="52" t="s">
        <v>723</v>
      </c>
      <c r="C112" s="65"/>
      <c r="D112" s="54"/>
      <c r="E112" s="55"/>
      <c r="F112" s="79"/>
      <c r="G112" s="79"/>
      <c r="H112" s="79"/>
      <c r="I112" s="58"/>
      <c r="J112" s="58"/>
      <c r="K112" s="59">
        <f>+K113+K123</f>
        <v>0</v>
      </c>
      <c r="L112" s="68"/>
    </row>
    <row r="113" s="33" customFormat="1" ht="20" customHeight="1" outlineLevel="1" spans="1:12">
      <c r="A113" s="76"/>
      <c r="B113" s="61" t="s">
        <v>724</v>
      </c>
      <c r="C113" s="65"/>
      <c r="D113" s="54"/>
      <c r="E113" s="55"/>
      <c r="F113" s="79"/>
      <c r="G113" s="79"/>
      <c r="H113" s="79"/>
      <c r="I113" s="58"/>
      <c r="J113" s="58"/>
      <c r="K113" s="75">
        <f>SUM(K114:K122)</f>
        <v>0</v>
      </c>
      <c r="L113" s="68"/>
    </row>
    <row r="114" s="33" customFormat="1" ht="36" outlineLevel="2" spans="1:12">
      <c r="A114" s="63">
        <f t="shared" ref="A114:A122" si="21">A113+1</f>
        <v>1</v>
      </c>
      <c r="B114" s="64" t="s">
        <v>725</v>
      </c>
      <c r="C114" s="65" t="s">
        <v>726</v>
      </c>
      <c r="D114" s="54" t="s">
        <v>603</v>
      </c>
      <c r="E114" s="55">
        <v>614</v>
      </c>
      <c r="F114" s="66"/>
      <c r="G114" s="66"/>
      <c r="H114" s="66"/>
      <c r="I114" s="58">
        <f t="shared" si="9"/>
        <v>0</v>
      </c>
      <c r="J114" s="58">
        <f t="shared" ref="J114:J122" si="22">F114+G114+H114+I114</f>
        <v>0</v>
      </c>
      <c r="K114" s="67">
        <f t="shared" ref="K114:K122" si="23">ROUND(E114*J114,2)</f>
        <v>0</v>
      </c>
      <c r="L114" s="68"/>
    </row>
    <row r="115" s="33" customFormat="1" ht="60" outlineLevel="2" spans="1:12">
      <c r="A115" s="63">
        <f t="shared" si="21"/>
        <v>2</v>
      </c>
      <c r="B115" s="64" t="s">
        <v>727</v>
      </c>
      <c r="C115" s="65" t="s">
        <v>728</v>
      </c>
      <c r="D115" s="54" t="s">
        <v>65</v>
      </c>
      <c r="E115" s="55">
        <v>428.939</v>
      </c>
      <c r="F115" s="66"/>
      <c r="G115" s="66"/>
      <c r="H115" s="66"/>
      <c r="I115" s="58">
        <f t="shared" si="9"/>
        <v>0</v>
      </c>
      <c r="J115" s="58">
        <f t="shared" si="22"/>
        <v>0</v>
      </c>
      <c r="K115" s="67">
        <f t="shared" si="23"/>
        <v>0</v>
      </c>
      <c r="L115" s="68"/>
    </row>
    <row r="116" s="33" customFormat="1" ht="60" outlineLevel="2" spans="1:12">
      <c r="A116" s="63">
        <f t="shared" si="21"/>
        <v>3</v>
      </c>
      <c r="B116" s="64" t="s">
        <v>729</v>
      </c>
      <c r="C116" s="65" t="s">
        <v>730</v>
      </c>
      <c r="D116" s="54" t="s">
        <v>65</v>
      </c>
      <c r="E116" s="55">
        <v>200.256</v>
      </c>
      <c r="F116" s="66"/>
      <c r="G116" s="66"/>
      <c r="H116" s="66"/>
      <c r="I116" s="58">
        <f t="shared" si="9"/>
        <v>0</v>
      </c>
      <c r="J116" s="58">
        <f t="shared" si="22"/>
        <v>0</v>
      </c>
      <c r="K116" s="67">
        <f t="shared" si="23"/>
        <v>0</v>
      </c>
      <c r="L116" s="68"/>
    </row>
    <row r="117" s="33" customFormat="1" ht="60" outlineLevel="2" spans="1:12">
      <c r="A117" s="63">
        <f t="shared" si="21"/>
        <v>4</v>
      </c>
      <c r="B117" s="64" t="s">
        <v>731</v>
      </c>
      <c r="C117" s="65" t="s">
        <v>732</v>
      </c>
      <c r="D117" s="54" t="s">
        <v>65</v>
      </c>
      <c r="E117" s="55">
        <v>47.745</v>
      </c>
      <c r="F117" s="66"/>
      <c r="G117" s="66"/>
      <c r="H117" s="66"/>
      <c r="I117" s="58">
        <f t="shared" si="9"/>
        <v>0</v>
      </c>
      <c r="J117" s="58">
        <f t="shared" si="22"/>
        <v>0</v>
      </c>
      <c r="K117" s="67">
        <f t="shared" si="23"/>
        <v>0</v>
      </c>
      <c r="L117" s="68"/>
    </row>
    <row r="118" s="33" customFormat="1" ht="60" outlineLevel="2" spans="1:12">
      <c r="A118" s="63">
        <f t="shared" si="21"/>
        <v>5</v>
      </c>
      <c r="B118" s="64" t="s">
        <v>733</v>
      </c>
      <c r="C118" s="65" t="s">
        <v>734</v>
      </c>
      <c r="D118" s="54" t="s">
        <v>65</v>
      </c>
      <c r="E118" s="55">
        <v>84.006</v>
      </c>
      <c r="F118" s="66"/>
      <c r="G118" s="66"/>
      <c r="H118" s="66"/>
      <c r="I118" s="58">
        <f t="shared" si="9"/>
        <v>0</v>
      </c>
      <c r="J118" s="58">
        <f t="shared" si="22"/>
        <v>0</v>
      </c>
      <c r="K118" s="67">
        <f t="shared" si="23"/>
        <v>0</v>
      </c>
      <c r="L118" s="68"/>
    </row>
    <row r="119" s="33" customFormat="1" ht="60" outlineLevel="2" spans="1:12">
      <c r="A119" s="63">
        <f t="shared" si="21"/>
        <v>6</v>
      </c>
      <c r="B119" s="64" t="s">
        <v>735</v>
      </c>
      <c r="C119" s="65" t="s">
        <v>736</v>
      </c>
      <c r="D119" s="54" t="s">
        <v>65</v>
      </c>
      <c r="E119" s="55">
        <v>19.44</v>
      </c>
      <c r="F119" s="66"/>
      <c r="G119" s="66"/>
      <c r="H119" s="66"/>
      <c r="I119" s="58">
        <f t="shared" si="9"/>
        <v>0</v>
      </c>
      <c r="J119" s="58">
        <f t="shared" si="22"/>
        <v>0</v>
      </c>
      <c r="K119" s="67">
        <f t="shared" si="23"/>
        <v>0</v>
      </c>
      <c r="L119" s="68"/>
    </row>
    <row r="120" s="33" customFormat="1" ht="60" outlineLevel="2" spans="1:12">
      <c r="A120" s="63">
        <f t="shared" si="21"/>
        <v>7</v>
      </c>
      <c r="B120" s="64" t="s">
        <v>737</v>
      </c>
      <c r="C120" s="65" t="s">
        <v>738</v>
      </c>
      <c r="D120" s="54" t="s">
        <v>65</v>
      </c>
      <c r="E120" s="55">
        <v>81.91</v>
      </c>
      <c r="F120" s="66"/>
      <c r="G120" s="66"/>
      <c r="H120" s="66"/>
      <c r="I120" s="58">
        <f t="shared" si="9"/>
        <v>0</v>
      </c>
      <c r="J120" s="58">
        <f t="shared" si="22"/>
        <v>0</v>
      </c>
      <c r="K120" s="67">
        <f t="shared" si="23"/>
        <v>0</v>
      </c>
      <c r="L120" s="68"/>
    </row>
    <row r="121" s="33" customFormat="1" ht="60" outlineLevel="2" spans="1:12">
      <c r="A121" s="63">
        <f t="shared" si="21"/>
        <v>8</v>
      </c>
      <c r="B121" s="64" t="s">
        <v>739</v>
      </c>
      <c r="C121" s="65" t="s">
        <v>740</v>
      </c>
      <c r="D121" s="54" t="s">
        <v>65</v>
      </c>
      <c r="E121" s="55">
        <v>33.003</v>
      </c>
      <c r="F121" s="66"/>
      <c r="G121" s="66"/>
      <c r="H121" s="66"/>
      <c r="I121" s="58">
        <f t="shared" si="9"/>
        <v>0</v>
      </c>
      <c r="J121" s="58">
        <f t="shared" si="22"/>
        <v>0</v>
      </c>
      <c r="K121" s="67">
        <f t="shared" si="23"/>
        <v>0</v>
      </c>
      <c r="L121" s="68"/>
    </row>
    <row r="122" s="33" customFormat="1" ht="60" outlineLevel="2" spans="1:12">
      <c r="A122" s="63">
        <f t="shared" si="21"/>
        <v>9</v>
      </c>
      <c r="B122" s="64" t="s">
        <v>741</v>
      </c>
      <c r="C122" s="65" t="s">
        <v>742</v>
      </c>
      <c r="D122" s="54" t="s">
        <v>65</v>
      </c>
      <c r="E122" s="55">
        <v>85.384</v>
      </c>
      <c r="F122" s="66"/>
      <c r="G122" s="66"/>
      <c r="H122" s="66"/>
      <c r="I122" s="58">
        <f t="shared" si="9"/>
        <v>0</v>
      </c>
      <c r="J122" s="58">
        <f t="shared" si="22"/>
        <v>0</v>
      </c>
      <c r="K122" s="67">
        <f t="shared" si="23"/>
        <v>0</v>
      </c>
      <c r="L122" s="68"/>
    </row>
    <row r="123" s="32" customFormat="1" ht="20" customHeight="1" outlineLevel="1" spans="1:12">
      <c r="A123" s="76"/>
      <c r="B123" s="61" t="s">
        <v>743</v>
      </c>
      <c r="C123" s="80"/>
      <c r="D123" s="54"/>
      <c r="E123" s="55"/>
      <c r="F123" s="56"/>
      <c r="G123" s="56"/>
      <c r="H123" s="56"/>
      <c r="I123" s="58"/>
      <c r="J123" s="58"/>
      <c r="K123" s="75">
        <f>SUM(K124:K134)</f>
        <v>0</v>
      </c>
      <c r="L123" s="60"/>
    </row>
    <row r="124" s="33" customFormat="1" ht="24" outlineLevel="2" spans="1:12">
      <c r="A124" s="63">
        <f t="shared" ref="A124:A134" si="24">A123+1</f>
        <v>1</v>
      </c>
      <c r="B124" s="54" t="s">
        <v>744</v>
      </c>
      <c r="C124" s="65" t="s">
        <v>745</v>
      </c>
      <c r="D124" s="54" t="s">
        <v>603</v>
      </c>
      <c r="E124" s="55">
        <v>95</v>
      </c>
      <c r="F124" s="66"/>
      <c r="G124" s="66"/>
      <c r="H124" s="66"/>
      <c r="I124" s="58">
        <f t="shared" si="9"/>
        <v>0</v>
      </c>
      <c r="J124" s="58">
        <f t="shared" ref="J124:J134" si="25">F124+G124+H124+I124</f>
        <v>0</v>
      </c>
      <c r="K124" s="67">
        <f t="shared" ref="K124:K134" si="26">ROUND(E124*J124,2)</f>
        <v>0</v>
      </c>
      <c r="L124" s="68"/>
    </row>
    <row r="125" s="33" customFormat="1" ht="30" customHeight="1" outlineLevel="2" spans="1:12">
      <c r="A125" s="63">
        <f t="shared" si="24"/>
        <v>2</v>
      </c>
      <c r="B125" s="54" t="s">
        <v>746</v>
      </c>
      <c r="C125" s="65" t="s">
        <v>747</v>
      </c>
      <c r="D125" s="54" t="s">
        <v>603</v>
      </c>
      <c r="E125" s="55">
        <v>21</v>
      </c>
      <c r="F125" s="66"/>
      <c r="G125" s="66"/>
      <c r="H125" s="66"/>
      <c r="I125" s="58">
        <f t="shared" si="9"/>
        <v>0</v>
      </c>
      <c r="J125" s="58">
        <f t="shared" si="25"/>
        <v>0</v>
      </c>
      <c r="K125" s="67">
        <f t="shared" si="26"/>
        <v>0</v>
      </c>
      <c r="L125" s="68"/>
    </row>
    <row r="126" s="33" customFormat="1" ht="30" customHeight="1" outlineLevel="2" spans="1:12">
      <c r="A126" s="63">
        <f t="shared" si="24"/>
        <v>3</v>
      </c>
      <c r="B126" s="54" t="s">
        <v>748</v>
      </c>
      <c r="C126" s="65" t="s">
        <v>749</v>
      </c>
      <c r="D126" s="54" t="s">
        <v>603</v>
      </c>
      <c r="E126" s="55">
        <v>11</v>
      </c>
      <c r="F126" s="66"/>
      <c r="G126" s="66"/>
      <c r="H126" s="66"/>
      <c r="I126" s="58">
        <f t="shared" si="9"/>
        <v>0</v>
      </c>
      <c r="J126" s="58">
        <f t="shared" si="25"/>
        <v>0</v>
      </c>
      <c r="K126" s="67">
        <f t="shared" si="26"/>
        <v>0</v>
      </c>
      <c r="L126" s="68"/>
    </row>
    <row r="127" s="33" customFormat="1" ht="60" outlineLevel="2" spans="1:12">
      <c r="A127" s="63">
        <f t="shared" si="24"/>
        <v>4</v>
      </c>
      <c r="B127" s="54" t="s">
        <v>750</v>
      </c>
      <c r="C127" s="65" t="s">
        <v>751</v>
      </c>
      <c r="D127" s="54" t="s">
        <v>603</v>
      </c>
      <c r="E127" s="55">
        <v>11</v>
      </c>
      <c r="F127" s="66"/>
      <c r="G127" s="66"/>
      <c r="H127" s="66"/>
      <c r="I127" s="58">
        <f t="shared" si="9"/>
        <v>0</v>
      </c>
      <c r="J127" s="58">
        <f t="shared" si="25"/>
        <v>0</v>
      </c>
      <c r="K127" s="67">
        <f t="shared" si="26"/>
        <v>0</v>
      </c>
      <c r="L127" s="68"/>
    </row>
    <row r="128" s="33" customFormat="1" ht="36" outlineLevel="2" spans="1:12">
      <c r="A128" s="63">
        <f t="shared" si="24"/>
        <v>5</v>
      </c>
      <c r="B128" s="54" t="s">
        <v>752</v>
      </c>
      <c r="C128" s="65" t="s">
        <v>753</v>
      </c>
      <c r="D128" s="54" t="s">
        <v>603</v>
      </c>
      <c r="E128" s="55">
        <v>14</v>
      </c>
      <c r="F128" s="66"/>
      <c r="G128" s="66"/>
      <c r="H128" s="66"/>
      <c r="I128" s="58">
        <f t="shared" si="9"/>
        <v>0</v>
      </c>
      <c r="J128" s="58">
        <f t="shared" si="25"/>
        <v>0</v>
      </c>
      <c r="K128" s="67">
        <f t="shared" si="26"/>
        <v>0</v>
      </c>
      <c r="L128" s="68"/>
    </row>
    <row r="129" s="33" customFormat="1" ht="30" customHeight="1" outlineLevel="2" spans="1:12">
      <c r="A129" s="63">
        <f t="shared" si="24"/>
        <v>6</v>
      </c>
      <c r="B129" s="54" t="s">
        <v>754</v>
      </c>
      <c r="C129" s="65" t="s">
        <v>755</v>
      </c>
      <c r="D129" s="54" t="s">
        <v>603</v>
      </c>
      <c r="E129" s="55">
        <v>1</v>
      </c>
      <c r="F129" s="66"/>
      <c r="G129" s="66"/>
      <c r="H129" s="66"/>
      <c r="I129" s="58">
        <f t="shared" si="9"/>
        <v>0</v>
      </c>
      <c r="J129" s="58">
        <f t="shared" si="25"/>
        <v>0</v>
      </c>
      <c r="K129" s="67">
        <f t="shared" si="26"/>
        <v>0</v>
      </c>
      <c r="L129" s="68"/>
    </row>
    <row r="130" s="33" customFormat="1" ht="30" customHeight="1" outlineLevel="2" spans="1:12">
      <c r="A130" s="63">
        <f t="shared" si="24"/>
        <v>7</v>
      </c>
      <c r="B130" s="54" t="s">
        <v>756</v>
      </c>
      <c r="C130" s="65" t="s">
        <v>757</v>
      </c>
      <c r="D130" s="54" t="s">
        <v>603</v>
      </c>
      <c r="E130" s="55">
        <v>2</v>
      </c>
      <c r="F130" s="66"/>
      <c r="G130" s="66"/>
      <c r="H130" s="66"/>
      <c r="I130" s="58">
        <f t="shared" si="9"/>
        <v>0</v>
      </c>
      <c r="J130" s="58">
        <f t="shared" si="25"/>
        <v>0</v>
      </c>
      <c r="K130" s="67">
        <f t="shared" si="26"/>
        <v>0</v>
      </c>
      <c r="L130" s="68"/>
    </row>
    <row r="131" s="33" customFormat="1" ht="36" outlineLevel="2" spans="1:12">
      <c r="A131" s="63">
        <f t="shared" si="24"/>
        <v>8</v>
      </c>
      <c r="B131" s="54" t="s">
        <v>758</v>
      </c>
      <c r="C131" s="65" t="s">
        <v>759</v>
      </c>
      <c r="D131" s="54" t="s">
        <v>65</v>
      </c>
      <c r="E131" s="55">
        <v>548.815</v>
      </c>
      <c r="F131" s="66"/>
      <c r="G131" s="66"/>
      <c r="H131" s="66"/>
      <c r="I131" s="58">
        <f t="shared" si="9"/>
        <v>0</v>
      </c>
      <c r="J131" s="58">
        <f t="shared" si="25"/>
        <v>0</v>
      </c>
      <c r="K131" s="67">
        <f t="shared" si="26"/>
        <v>0</v>
      </c>
      <c r="L131" s="68"/>
    </row>
    <row r="132" s="33" customFormat="1" ht="36" outlineLevel="2" spans="1:12">
      <c r="A132" s="63">
        <f t="shared" si="24"/>
        <v>9</v>
      </c>
      <c r="B132" s="54" t="s">
        <v>760</v>
      </c>
      <c r="C132" s="65" t="s">
        <v>761</v>
      </c>
      <c r="D132" s="54" t="s">
        <v>65</v>
      </c>
      <c r="E132" s="55">
        <v>1321.028</v>
      </c>
      <c r="F132" s="66"/>
      <c r="G132" s="66"/>
      <c r="H132" s="66"/>
      <c r="I132" s="58">
        <f t="shared" si="9"/>
        <v>0</v>
      </c>
      <c r="J132" s="58">
        <f t="shared" si="25"/>
        <v>0</v>
      </c>
      <c r="K132" s="67">
        <f t="shared" si="26"/>
        <v>0</v>
      </c>
      <c r="L132" s="68"/>
    </row>
    <row r="133" s="33" customFormat="1" ht="36" outlineLevel="2" spans="1:12">
      <c r="A133" s="63">
        <f t="shared" si="24"/>
        <v>10</v>
      </c>
      <c r="B133" s="54" t="s">
        <v>762</v>
      </c>
      <c r="C133" s="65" t="s">
        <v>763</v>
      </c>
      <c r="D133" s="54" t="s">
        <v>65</v>
      </c>
      <c r="E133" s="55">
        <v>402.963</v>
      </c>
      <c r="F133" s="66"/>
      <c r="G133" s="66"/>
      <c r="H133" s="66"/>
      <c r="I133" s="58">
        <f t="shared" si="9"/>
        <v>0</v>
      </c>
      <c r="J133" s="58">
        <f t="shared" si="25"/>
        <v>0</v>
      </c>
      <c r="K133" s="67">
        <f t="shared" si="26"/>
        <v>0</v>
      </c>
      <c r="L133" s="68"/>
    </row>
    <row r="134" s="33" customFormat="1" ht="36" outlineLevel="2" spans="1:12">
      <c r="A134" s="63">
        <f t="shared" si="24"/>
        <v>11</v>
      </c>
      <c r="B134" s="54" t="s">
        <v>764</v>
      </c>
      <c r="C134" s="65" t="s">
        <v>765</v>
      </c>
      <c r="D134" s="54" t="s">
        <v>65</v>
      </c>
      <c r="E134" s="55">
        <v>1092.403</v>
      </c>
      <c r="F134" s="66"/>
      <c r="G134" s="66"/>
      <c r="H134" s="66"/>
      <c r="I134" s="58">
        <f t="shared" si="9"/>
        <v>0</v>
      </c>
      <c r="J134" s="58">
        <f t="shared" si="25"/>
        <v>0</v>
      </c>
      <c r="K134" s="67">
        <f t="shared" si="26"/>
        <v>0</v>
      </c>
      <c r="L134" s="68"/>
    </row>
    <row r="135" s="33" customFormat="1" ht="25" customHeight="1" spans="1:12">
      <c r="A135" s="76"/>
      <c r="B135" s="52" t="s">
        <v>766</v>
      </c>
      <c r="C135" s="65"/>
      <c r="D135" s="54"/>
      <c r="E135" s="55"/>
      <c r="F135" s="79"/>
      <c r="G135" s="79"/>
      <c r="H135" s="79"/>
      <c r="I135" s="58"/>
      <c r="J135" s="58"/>
      <c r="K135" s="59">
        <f>+K136+K159+K176+K196+K209</f>
        <v>0</v>
      </c>
      <c r="L135" s="68"/>
    </row>
    <row r="136" s="33" customFormat="1" ht="20" customHeight="1" outlineLevel="1" spans="1:12">
      <c r="A136" s="81"/>
      <c r="B136" s="61" t="s">
        <v>767</v>
      </c>
      <c r="C136" s="77"/>
      <c r="D136" s="52"/>
      <c r="E136" s="78"/>
      <c r="F136" s="79"/>
      <c r="G136" s="79"/>
      <c r="H136" s="79"/>
      <c r="I136" s="58"/>
      <c r="J136" s="59"/>
      <c r="K136" s="59">
        <f>SUM(K137:K158)</f>
        <v>0</v>
      </c>
      <c r="L136" s="68"/>
    </row>
    <row r="137" s="33" customFormat="1" ht="72" outlineLevel="2" spans="1:12">
      <c r="A137" s="63">
        <f t="shared" ref="A137:A158" si="27">A136+1</f>
        <v>1</v>
      </c>
      <c r="B137" s="64" t="s">
        <v>768</v>
      </c>
      <c r="C137" s="65" t="s">
        <v>769</v>
      </c>
      <c r="D137" s="54" t="s">
        <v>603</v>
      </c>
      <c r="E137" s="55">
        <v>1</v>
      </c>
      <c r="F137" s="66"/>
      <c r="G137" s="55"/>
      <c r="H137" s="66"/>
      <c r="I137" s="58">
        <f t="shared" si="9"/>
        <v>0</v>
      </c>
      <c r="J137" s="58">
        <f t="shared" ref="J137:J158" si="28">F137+G137+H137+I137</f>
        <v>0</v>
      </c>
      <c r="K137" s="67">
        <f t="shared" ref="K137:K158" si="29">ROUND(E137*J137,2)</f>
        <v>0</v>
      </c>
      <c r="L137" s="68"/>
    </row>
    <row r="138" s="33" customFormat="1" ht="72" outlineLevel="2" spans="1:12">
      <c r="A138" s="63">
        <f t="shared" si="27"/>
        <v>2</v>
      </c>
      <c r="B138" s="64" t="s">
        <v>770</v>
      </c>
      <c r="C138" s="65" t="s">
        <v>771</v>
      </c>
      <c r="D138" s="54" t="s">
        <v>603</v>
      </c>
      <c r="E138" s="55">
        <v>2</v>
      </c>
      <c r="F138" s="66"/>
      <c r="G138" s="55"/>
      <c r="H138" s="66"/>
      <c r="I138" s="58">
        <f t="shared" si="9"/>
        <v>0</v>
      </c>
      <c r="J138" s="58">
        <f t="shared" si="28"/>
        <v>0</v>
      </c>
      <c r="K138" s="67">
        <f t="shared" si="29"/>
        <v>0</v>
      </c>
      <c r="L138" s="68"/>
    </row>
    <row r="139" s="33" customFormat="1" ht="72" outlineLevel="2" spans="1:12">
      <c r="A139" s="63">
        <f t="shared" si="27"/>
        <v>3</v>
      </c>
      <c r="B139" s="64" t="s">
        <v>772</v>
      </c>
      <c r="C139" s="65" t="s">
        <v>773</v>
      </c>
      <c r="D139" s="54" t="s">
        <v>603</v>
      </c>
      <c r="E139" s="55">
        <v>7</v>
      </c>
      <c r="F139" s="66"/>
      <c r="G139" s="55"/>
      <c r="H139" s="66"/>
      <c r="I139" s="58">
        <f t="shared" si="9"/>
        <v>0</v>
      </c>
      <c r="J139" s="58">
        <f t="shared" si="28"/>
        <v>0</v>
      </c>
      <c r="K139" s="67">
        <f t="shared" si="29"/>
        <v>0</v>
      </c>
      <c r="L139" s="68"/>
    </row>
    <row r="140" s="33" customFormat="1" ht="72" outlineLevel="2" spans="1:12">
      <c r="A140" s="63">
        <f t="shared" si="27"/>
        <v>4</v>
      </c>
      <c r="B140" s="64" t="s">
        <v>774</v>
      </c>
      <c r="C140" s="65" t="s">
        <v>775</v>
      </c>
      <c r="D140" s="54" t="s">
        <v>603</v>
      </c>
      <c r="E140" s="55">
        <v>2</v>
      </c>
      <c r="F140" s="66"/>
      <c r="G140" s="55"/>
      <c r="H140" s="66"/>
      <c r="I140" s="58">
        <f t="shared" ref="I140:I203" si="30">(F140+G140+H140)*$I$3</f>
        <v>0</v>
      </c>
      <c r="J140" s="58">
        <f t="shared" si="28"/>
        <v>0</v>
      </c>
      <c r="K140" s="67">
        <f t="shared" si="29"/>
        <v>0</v>
      </c>
      <c r="L140" s="68"/>
    </row>
    <row r="141" s="33" customFormat="1" ht="96" outlineLevel="2" spans="1:12">
      <c r="A141" s="63">
        <f t="shared" si="27"/>
        <v>5</v>
      </c>
      <c r="B141" s="64" t="s">
        <v>776</v>
      </c>
      <c r="C141" s="65" t="s">
        <v>777</v>
      </c>
      <c r="D141" s="54" t="s">
        <v>603</v>
      </c>
      <c r="E141" s="55">
        <v>2</v>
      </c>
      <c r="F141" s="66"/>
      <c r="G141" s="55"/>
      <c r="H141" s="66"/>
      <c r="I141" s="58">
        <f t="shared" si="30"/>
        <v>0</v>
      </c>
      <c r="J141" s="58">
        <f t="shared" si="28"/>
        <v>0</v>
      </c>
      <c r="K141" s="67">
        <f t="shared" si="29"/>
        <v>0</v>
      </c>
      <c r="L141" s="68"/>
    </row>
    <row r="142" s="33" customFormat="1" ht="96" outlineLevel="2" spans="1:12">
      <c r="A142" s="63">
        <f t="shared" si="27"/>
        <v>6</v>
      </c>
      <c r="B142" s="64" t="s">
        <v>778</v>
      </c>
      <c r="C142" s="65" t="s">
        <v>779</v>
      </c>
      <c r="D142" s="54" t="s">
        <v>603</v>
      </c>
      <c r="E142" s="55">
        <v>4</v>
      </c>
      <c r="F142" s="66"/>
      <c r="G142" s="55"/>
      <c r="H142" s="66"/>
      <c r="I142" s="58">
        <f t="shared" si="30"/>
        <v>0</v>
      </c>
      <c r="J142" s="58">
        <f t="shared" si="28"/>
        <v>0</v>
      </c>
      <c r="K142" s="67">
        <f t="shared" si="29"/>
        <v>0</v>
      </c>
      <c r="L142" s="68"/>
    </row>
    <row r="143" s="33" customFormat="1" ht="96" outlineLevel="2" spans="1:12">
      <c r="A143" s="63">
        <f t="shared" si="27"/>
        <v>7</v>
      </c>
      <c r="B143" s="64" t="s">
        <v>780</v>
      </c>
      <c r="C143" s="65" t="s">
        <v>781</v>
      </c>
      <c r="D143" s="54" t="s">
        <v>603</v>
      </c>
      <c r="E143" s="55">
        <v>1</v>
      </c>
      <c r="F143" s="66"/>
      <c r="G143" s="55"/>
      <c r="H143" s="66"/>
      <c r="I143" s="58">
        <f t="shared" si="30"/>
        <v>0</v>
      </c>
      <c r="J143" s="58">
        <f t="shared" si="28"/>
        <v>0</v>
      </c>
      <c r="K143" s="67">
        <f t="shared" si="29"/>
        <v>0</v>
      </c>
      <c r="L143" s="68"/>
    </row>
    <row r="144" s="33" customFormat="1" ht="96" outlineLevel="2" spans="1:12">
      <c r="A144" s="63">
        <f t="shared" si="27"/>
        <v>8</v>
      </c>
      <c r="B144" s="64" t="s">
        <v>782</v>
      </c>
      <c r="C144" s="65" t="s">
        <v>783</v>
      </c>
      <c r="D144" s="54" t="s">
        <v>603</v>
      </c>
      <c r="E144" s="55">
        <v>2</v>
      </c>
      <c r="F144" s="66"/>
      <c r="G144" s="55"/>
      <c r="H144" s="66"/>
      <c r="I144" s="58">
        <f t="shared" si="30"/>
        <v>0</v>
      </c>
      <c r="J144" s="58">
        <f t="shared" si="28"/>
        <v>0</v>
      </c>
      <c r="K144" s="67">
        <f t="shared" si="29"/>
        <v>0</v>
      </c>
      <c r="L144" s="68"/>
    </row>
    <row r="145" s="33" customFormat="1" ht="84" outlineLevel="2" spans="1:12">
      <c r="A145" s="63">
        <f t="shared" si="27"/>
        <v>9</v>
      </c>
      <c r="B145" s="64" t="s">
        <v>784</v>
      </c>
      <c r="C145" s="65" t="s">
        <v>785</v>
      </c>
      <c r="D145" s="54" t="s">
        <v>603</v>
      </c>
      <c r="E145" s="55">
        <v>1</v>
      </c>
      <c r="F145" s="66"/>
      <c r="G145" s="55"/>
      <c r="H145" s="66"/>
      <c r="I145" s="58">
        <f t="shared" si="30"/>
        <v>0</v>
      </c>
      <c r="J145" s="58">
        <f t="shared" si="28"/>
        <v>0</v>
      </c>
      <c r="K145" s="67">
        <f t="shared" si="29"/>
        <v>0</v>
      </c>
      <c r="L145" s="68"/>
    </row>
    <row r="146" s="33" customFormat="1" ht="84" outlineLevel="2" spans="1:12">
      <c r="A146" s="63">
        <f t="shared" si="27"/>
        <v>10</v>
      </c>
      <c r="B146" s="64" t="s">
        <v>786</v>
      </c>
      <c r="C146" s="65" t="s">
        <v>787</v>
      </c>
      <c r="D146" s="54" t="s">
        <v>603</v>
      </c>
      <c r="E146" s="55">
        <v>1</v>
      </c>
      <c r="F146" s="66"/>
      <c r="G146" s="55"/>
      <c r="H146" s="66"/>
      <c r="I146" s="58">
        <f t="shared" si="30"/>
        <v>0</v>
      </c>
      <c r="J146" s="58">
        <f t="shared" si="28"/>
        <v>0</v>
      </c>
      <c r="K146" s="67">
        <f t="shared" si="29"/>
        <v>0</v>
      </c>
      <c r="L146" s="68"/>
    </row>
    <row r="147" s="33" customFormat="1" ht="84" outlineLevel="2" spans="1:12">
      <c r="A147" s="63">
        <f t="shared" si="27"/>
        <v>11</v>
      </c>
      <c r="B147" s="64" t="s">
        <v>788</v>
      </c>
      <c r="C147" s="65" t="s">
        <v>789</v>
      </c>
      <c r="D147" s="54" t="s">
        <v>603</v>
      </c>
      <c r="E147" s="55">
        <v>2</v>
      </c>
      <c r="F147" s="66"/>
      <c r="G147" s="55"/>
      <c r="H147" s="66"/>
      <c r="I147" s="58">
        <f t="shared" si="30"/>
        <v>0</v>
      </c>
      <c r="J147" s="58">
        <f t="shared" si="28"/>
        <v>0</v>
      </c>
      <c r="K147" s="67">
        <f t="shared" si="29"/>
        <v>0</v>
      </c>
      <c r="L147" s="68"/>
    </row>
    <row r="148" s="33" customFormat="1" ht="84" outlineLevel="2" spans="1:12">
      <c r="A148" s="63">
        <f t="shared" si="27"/>
        <v>12</v>
      </c>
      <c r="B148" s="64" t="s">
        <v>790</v>
      </c>
      <c r="C148" s="65" t="s">
        <v>791</v>
      </c>
      <c r="D148" s="54" t="s">
        <v>603</v>
      </c>
      <c r="E148" s="55">
        <v>6</v>
      </c>
      <c r="F148" s="66"/>
      <c r="G148" s="55"/>
      <c r="H148" s="66"/>
      <c r="I148" s="58">
        <f t="shared" si="30"/>
        <v>0</v>
      </c>
      <c r="J148" s="58">
        <f t="shared" si="28"/>
        <v>0</v>
      </c>
      <c r="K148" s="67">
        <f t="shared" si="29"/>
        <v>0</v>
      </c>
      <c r="L148" s="68"/>
    </row>
    <row r="149" s="33" customFormat="1" ht="84" outlineLevel="2" spans="1:12">
      <c r="A149" s="63">
        <f t="shared" si="27"/>
        <v>13</v>
      </c>
      <c r="B149" s="64" t="s">
        <v>792</v>
      </c>
      <c r="C149" s="65" t="s">
        <v>793</v>
      </c>
      <c r="D149" s="54" t="s">
        <v>603</v>
      </c>
      <c r="E149" s="55">
        <v>2</v>
      </c>
      <c r="F149" s="66"/>
      <c r="G149" s="55"/>
      <c r="H149" s="66"/>
      <c r="I149" s="58">
        <f t="shared" si="30"/>
        <v>0</v>
      </c>
      <c r="J149" s="58">
        <f t="shared" si="28"/>
        <v>0</v>
      </c>
      <c r="K149" s="67">
        <f t="shared" si="29"/>
        <v>0</v>
      </c>
      <c r="L149" s="68"/>
    </row>
    <row r="150" s="33" customFormat="1" ht="96" outlineLevel="2" spans="1:12">
      <c r="A150" s="63">
        <f t="shared" si="27"/>
        <v>14</v>
      </c>
      <c r="B150" s="64" t="s">
        <v>794</v>
      </c>
      <c r="C150" s="65" t="s">
        <v>795</v>
      </c>
      <c r="D150" s="54" t="s">
        <v>603</v>
      </c>
      <c r="E150" s="55">
        <v>9</v>
      </c>
      <c r="F150" s="66"/>
      <c r="G150" s="55"/>
      <c r="H150" s="66"/>
      <c r="I150" s="58">
        <f t="shared" si="30"/>
        <v>0</v>
      </c>
      <c r="J150" s="58">
        <f t="shared" si="28"/>
        <v>0</v>
      </c>
      <c r="K150" s="67">
        <f t="shared" si="29"/>
        <v>0</v>
      </c>
      <c r="L150" s="68"/>
    </row>
    <row r="151" s="33" customFormat="1" ht="96" outlineLevel="2" spans="1:12">
      <c r="A151" s="63">
        <f t="shared" si="27"/>
        <v>15</v>
      </c>
      <c r="B151" s="64" t="s">
        <v>796</v>
      </c>
      <c r="C151" s="65" t="s">
        <v>797</v>
      </c>
      <c r="D151" s="54" t="s">
        <v>603</v>
      </c>
      <c r="E151" s="55">
        <v>5</v>
      </c>
      <c r="F151" s="66"/>
      <c r="G151" s="55"/>
      <c r="H151" s="66"/>
      <c r="I151" s="58">
        <f t="shared" si="30"/>
        <v>0</v>
      </c>
      <c r="J151" s="58">
        <f t="shared" si="28"/>
        <v>0</v>
      </c>
      <c r="K151" s="67">
        <f t="shared" si="29"/>
        <v>0</v>
      </c>
      <c r="L151" s="68"/>
    </row>
    <row r="152" s="33" customFormat="1" ht="96" outlineLevel="2" spans="1:12">
      <c r="A152" s="63">
        <f t="shared" si="27"/>
        <v>16</v>
      </c>
      <c r="B152" s="64" t="s">
        <v>798</v>
      </c>
      <c r="C152" s="65" t="s">
        <v>799</v>
      </c>
      <c r="D152" s="54" t="s">
        <v>603</v>
      </c>
      <c r="E152" s="55">
        <v>5</v>
      </c>
      <c r="F152" s="66"/>
      <c r="G152" s="55"/>
      <c r="H152" s="66"/>
      <c r="I152" s="58">
        <f t="shared" si="30"/>
        <v>0</v>
      </c>
      <c r="J152" s="58">
        <f t="shared" si="28"/>
        <v>0</v>
      </c>
      <c r="K152" s="67">
        <f t="shared" si="29"/>
        <v>0</v>
      </c>
      <c r="L152" s="68"/>
    </row>
    <row r="153" s="33" customFormat="1" ht="96" outlineLevel="2" spans="1:12">
      <c r="A153" s="63">
        <f t="shared" si="27"/>
        <v>17</v>
      </c>
      <c r="B153" s="64" t="s">
        <v>800</v>
      </c>
      <c r="C153" s="65" t="s">
        <v>801</v>
      </c>
      <c r="D153" s="54" t="s">
        <v>603</v>
      </c>
      <c r="E153" s="55">
        <v>26</v>
      </c>
      <c r="F153" s="66"/>
      <c r="G153" s="55"/>
      <c r="H153" s="66"/>
      <c r="I153" s="58">
        <f t="shared" si="30"/>
        <v>0</v>
      </c>
      <c r="J153" s="58">
        <f t="shared" si="28"/>
        <v>0</v>
      </c>
      <c r="K153" s="67">
        <f t="shared" si="29"/>
        <v>0</v>
      </c>
      <c r="L153" s="68"/>
    </row>
    <row r="154" s="33" customFormat="1" ht="96" outlineLevel="2" spans="1:12">
      <c r="A154" s="63">
        <f t="shared" si="27"/>
        <v>18</v>
      </c>
      <c r="B154" s="64" t="s">
        <v>802</v>
      </c>
      <c r="C154" s="65" t="s">
        <v>803</v>
      </c>
      <c r="D154" s="54" t="s">
        <v>603</v>
      </c>
      <c r="E154" s="55">
        <v>1</v>
      </c>
      <c r="F154" s="66"/>
      <c r="G154" s="55"/>
      <c r="H154" s="66"/>
      <c r="I154" s="58">
        <f t="shared" si="30"/>
        <v>0</v>
      </c>
      <c r="J154" s="58">
        <f t="shared" si="28"/>
        <v>0</v>
      </c>
      <c r="K154" s="67">
        <f t="shared" si="29"/>
        <v>0</v>
      </c>
      <c r="L154" s="68"/>
    </row>
    <row r="155" s="33" customFormat="1" ht="96" outlineLevel="2" spans="1:12">
      <c r="A155" s="63">
        <f t="shared" si="27"/>
        <v>19</v>
      </c>
      <c r="B155" s="64" t="s">
        <v>804</v>
      </c>
      <c r="C155" s="65" t="s">
        <v>805</v>
      </c>
      <c r="D155" s="54" t="s">
        <v>603</v>
      </c>
      <c r="E155" s="55">
        <v>1</v>
      </c>
      <c r="F155" s="66"/>
      <c r="G155" s="55"/>
      <c r="H155" s="66"/>
      <c r="I155" s="58">
        <f t="shared" si="30"/>
        <v>0</v>
      </c>
      <c r="J155" s="58">
        <f t="shared" si="28"/>
        <v>0</v>
      </c>
      <c r="K155" s="67">
        <f t="shared" si="29"/>
        <v>0</v>
      </c>
      <c r="L155" s="68"/>
    </row>
    <row r="156" s="33" customFormat="1" ht="36" outlineLevel="2" spans="1:12">
      <c r="A156" s="63">
        <f t="shared" si="27"/>
        <v>20</v>
      </c>
      <c r="B156" s="64" t="s">
        <v>806</v>
      </c>
      <c r="C156" s="65" t="s">
        <v>807</v>
      </c>
      <c r="D156" s="54" t="s">
        <v>808</v>
      </c>
      <c r="E156" s="55">
        <v>42.272</v>
      </c>
      <c r="F156" s="66"/>
      <c r="G156" s="55"/>
      <c r="H156" s="66"/>
      <c r="I156" s="58">
        <f t="shared" si="30"/>
        <v>0</v>
      </c>
      <c r="J156" s="58">
        <f t="shared" si="28"/>
        <v>0</v>
      </c>
      <c r="K156" s="67">
        <f t="shared" si="29"/>
        <v>0</v>
      </c>
      <c r="L156" s="68"/>
    </row>
    <row r="157" s="33" customFormat="1" ht="156" outlineLevel="2" spans="1:12">
      <c r="A157" s="63">
        <f t="shared" si="27"/>
        <v>21</v>
      </c>
      <c r="B157" s="64" t="s">
        <v>809</v>
      </c>
      <c r="C157" s="65" t="s">
        <v>810</v>
      </c>
      <c r="D157" s="54" t="s">
        <v>808</v>
      </c>
      <c r="E157" s="55">
        <v>159.96</v>
      </c>
      <c r="F157" s="66"/>
      <c r="G157" s="55"/>
      <c r="H157" s="66"/>
      <c r="I157" s="58">
        <f t="shared" si="30"/>
        <v>0</v>
      </c>
      <c r="J157" s="58">
        <f t="shared" si="28"/>
        <v>0</v>
      </c>
      <c r="K157" s="67">
        <f t="shared" si="29"/>
        <v>0</v>
      </c>
      <c r="L157" s="68"/>
    </row>
    <row r="158" s="33" customFormat="1" ht="156" outlineLevel="2" spans="1:12">
      <c r="A158" s="63">
        <f t="shared" si="27"/>
        <v>22</v>
      </c>
      <c r="B158" s="64" t="s">
        <v>809</v>
      </c>
      <c r="C158" s="65" t="s">
        <v>811</v>
      </c>
      <c r="D158" s="54" t="s">
        <v>808</v>
      </c>
      <c r="E158" s="55">
        <v>449.856</v>
      </c>
      <c r="F158" s="66"/>
      <c r="G158" s="55"/>
      <c r="H158" s="66"/>
      <c r="I158" s="58">
        <f t="shared" si="30"/>
        <v>0</v>
      </c>
      <c r="J158" s="58">
        <f t="shared" si="28"/>
        <v>0</v>
      </c>
      <c r="K158" s="67">
        <f t="shared" si="29"/>
        <v>0</v>
      </c>
      <c r="L158" s="68"/>
    </row>
    <row r="159" s="33" customFormat="1" ht="20" customHeight="1" outlineLevel="1" spans="1:12">
      <c r="A159" s="81"/>
      <c r="B159" s="61" t="s">
        <v>812</v>
      </c>
      <c r="C159" s="77"/>
      <c r="D159" s="52"/>
      <c r="E159" s="78"/>
      <c r="F159" s="79"/>
      <c r="G159" s="79"/>
      <c r="H159" s="79"/>
      <c r="I159" s="58"/>
      <c r="J159" s="59"/>
      <c r="K159" s="59">
        <f>SUM(K160:K175)</f>
        <v>0</v>
      </c>
      <c r="L159" s="68"/>
    </row>
    <row r="160" s="33" customFormat="1" ht="84" outlineLevel="2" spans="1:12">
      <c r="A160" s="63">
        <f t="shared" ref="A160:A175" si="31">A159+1</f>
        <v>1</v>
      </c>
      <c r="B160" s="64" t="s">
        <v>813</v>
      </c>
      <c r="C160" s="65" t="s">
        <v>814</v>
      </c>
      <c r="D160" s="54" t="s">
        <v>603</v>
      </c>
      <c r="E160" s="55">
        <v>1</v>
      </c>
      <c r="F160" s="66"/>
      <c r="G160" s="55"/>
      <c r="H160" s="66"/>
      <c r="I160" s="58">
        <f t="shared" si="30"/>
        <v>0</v>
      </c>
      <c r="J160" s="58">
        <f t="shared" ref="J160:J175" si="32">F160+G160+H160+I160</f>
        <v>0</v>
      </c>
      <c r="K160" s="67">
        <f t="shared" ref="K160:K175" si="33">ROUND(E160*J160,2)</f>
        <v>0</v>
      </c>
      <c r="L160" s="68"/>
    </row>
    <row r="161" s="33" customFormat="1" ht="96" outlineLevel="2" spans="1:12">
      <c r="A161" s="63">
        <f t="shared" si="31"/>
        <v>2</v>
      </c>
      <c r="B161" s="64" t="s">
        <v>815</v>
      </c>
      <c r="C161" s="65" t="s">
        <v>816</v>
      </c>
      <c r="D161" s="54" t="s">
        <v>603</v>
      </c>
      <c r="E161" s="55">
        <v>1</v>
      </c>
      <c r="F161" s="66"/>
      <c r="G161" s="55"/>
      <c r="H161" s="66"/>
      <c r="I161" s="58">
        <f t="shared" si="30"/>
        <v>0</v>
      </c>
      <c r="J161" s="58">
        <f t="shared" si="32"/>
        <v>0</v>
      </c>
      <c r="K161" s="67">
        <f t="shared" si="33"/>
        <v>0</v>
      </c>
      <c r="L161" s="68"/>
    </row>
    <row r="162" s="33" customFormat="1" ht="96" outlineLevel="2" spans="1:12">
      <c r="A162" s="63">
        <f t="shared" si="31"/>
        <v>3</v>
      </c>
      <c r="B162" s="64" t="s">
        <v>817</v>
      </c>
      <c r="C162" s="65" t="s">
        <v>818</v>
      </c>
      <c r="D162" s="54" t="s">
        <v>603</v>
      </c>
      <c r="E162" s="55">
        <v>1</v>
      </c>
      <c r="F162" s="66"/>
      <c r="G162" s="55"/>
      <c r="H162" s="66"/>
      <c r="I162" s="58">
        <f t="shared" si="30"/>
        <v>0</v>
      </c>
      <c r="J162" s="58">
        <f t="shared" si="32"/>
        <v>0</v>
      </c>
      <c r="K162" s="67">
        <f t="shared" si="33"/>
        <v>0</v>
      </c>
      <c r="L162" s="68"/>
    </row>
    <row r="163" s="33" customFormat="1" ht="84" outlineLevel="2" spans="1:12">
      <c r="A163" s="63">
        <f t="shared" si="31"/>
        <v>4</v>
      </c>
      <c r="B163" s="64" t="s">
        <v>819</v>
      </c>
      <c r="C163" s="65" t="s">
        <v>820</v>
      </c>
      <c r="D163" s="54" t="s">
        <v>603</v>
      </c>
      <c r="E163" s="55">
        <v>1</v>
      </c>
      <c r="F163" s="66"/>
      <c r="G163" s="55"/>
      <c r="H163" s="66"/>
      <c r="I163" s="58">
        <f t="shared" si="30"/>
        <v>0</v>
      </c>
      <c r="J163" s="58">
        <f t="shared" si="32"/>
        <v>0</v>
      </c>
      <c r="K163" s="67">
        <f t="shared" si="33"/>
        <v>0</v>
      </c>
      <c r="L163" s="68"/>
    </row>
    <row r="164" s="33" customFormat="1" ht="36" outlineLevel="2" spans="1:12">
      <c r="A164" s="63">
        <f t="shared" si="31"/>
        <v>5</v>
      </c>
      <c r="B164" s="64" t="s">
        <v>821</v>
      </c>
      <c r="C164" s="65" t="s">
        <v>822</v>
      </c>
      <c r="D164" s="54" t="s">
        <v>603</v>
      </c>
      <c r="E164" s="55">
        <v>2.24</v>
      </c>
      <c r="F164" s="66"/>
      <c r="G164" s="55"/>
      <c r="H164" s="66"/>
      <c r="I164" s="58">
        <f t="shared" si="30"/>
        <v>0</v>
      </c>
      <c r="J164" s="58">
        <f t="shared" si="32"/>
        <v>0</v>
      </c>
      <c r="K164" s="67">
        <f t="shared" si="33"/>
        <v>0</v>
      </c>
      <c r="L164" s="68"/>
    </row>
    <row r="165" s="33" customFormat="1" ht="36" outlineLevel="2" spans="1:12">
      <c r="A165" s="63">
        <f t="shared" si="31"/>
        <v>6</v>
      </c>
      <c r="B165" s="64" t="s">
        <v>823</v>
      </c>
      <c r="C165" s="65" t="s">
        <v>824</v>
      </c>
      <c r="D165" s="54" t="s">
        <v>603</v>
      </c>
      <c r="E165" s="55">
        <v>2</v>
      </c>
      <c r="F165" s="66"/>
      <c r="G165" s="55"/>
      <c r="H165" s="66"/>
      <c r="I165" s="58">
        <f t="shared" si="30"/>
        <v>0</v>
      </c>
      <c r="J165" s="58">
        <f t="shared" si="32"/>
        <v>0</v>
      </c>
      <c r="K165" s="67">
        <f t="shared" si="33"/>
        <v>0</v>
      </c>
      <c r="L165" s="68"/>
    </row>
    <row r="166" s="33" customFormat="1" ht="36" outlineLevel="2" spans="1:12">
      <c r="A166" s="63">
        <f t="shared" si="31"/>
        <v>7</v>
      </c>
      <c r="B166" s="64" t="s">
        <v>825</v>
      </c>
      <c r="C166" s="65" t="s">
        <v>826</v>
      </c>
      <c r="D166" s="54" t="s">
        <v>603</v>
      </c>
      <c r="E166" s="55">
        <v>1</v>
      </c>
      <c r="F166" s="66"/>
      <c r="G166" s="55"/>
      <c r="H166" s="66"/>
      <c r="I166" s="58">
        <f t="shared" si="30"/>
        <v>0</v>
      </c>
      <c r="J166" s="58">
        <f t="shared" si="32"/>
        <v>0</v>
      </c>
      <c r="K166" s="67">
        <f t="shared" si="33"/>
        <v>0</v>
      </c>
      <c r="L166" s="68"/>
    </row>
    <row r="167" s="33" customFormat="1" ht="36" outlineLevel="2" spans="1:12">
      <c r="A167" s="63">
        <f t="shared" si="31"/>
        <v>8</v>
      </c>
      <c r="B167" s="64" t="s">
        <v>825</v>
      </c>
      <c r="C167" s="65" t="s">
        <v>827</v>
      </c>
      <c r="D167" s="54" t="s">
        <v>603</v>
      </c>
      <c r="E167" s="55">
        <v>1</v>
      </c>
      <c r="F167" s="66"/>
      <c r="G167" s="55"/>
      <c r="H167" s="66"/>
      <c r="I167" s="58">
        <f t="shared" si="30"/>
        <v>0</v>
      </c>
      <c r="J167" s="58">
        <f t="shared" si="32"/>
        <v>0</v>
      </c>
      <c r="K167" s="67">
        <f t="shared" si="33"/>
        <v>0</v>
      </c>
      <c r="L167" s="68"/>
    </row>
    <row r="168" s="33" customFormat="1" ht="36" outlineLevel="2" spans="1:12">
      <c r="A168" s="63">
        <f t="shared" si="31"/>
        <v>9</v>
      </c>
      <c r="B168" s="64" t="s">
        <v>825</v>
      </c>
      <c r="C168" s="65" t="s">
        <v>828</v>
      </c>
      <c r="D168" s="54" t="s">
        <v>603</v>
      </c>
      <c r="E168" s="55">
        <v>1</v>
      </c>
      <c r="F168" s="66"/>
      <c r="G168" s="55"/>
      <c r="H168" s="66"/>
      <c r="I168" s="58">
        <f t="shared" si="30"/>
        <v>0</v>
      </c>
      <c r="J168" s="58">
        <f t="shared" si="32"/>
        <v>0</v>
      </c>
      <c r="K168" s="67">
        <f t="shared" si="33"/>
        <v>0</v>
      </c>
      <c r="L168" s="68"/>
    </row>
    <row r="169" s="33" customFormat="1" ht="36" outlineLevel="2" spans="1:12">
      <c r="A169" s="63">
        <f t="shared" si="31"/>
        <v>10</v>
      </c>
      <c r="B169" s="64" t="s">
        <v>829</v>
      </c>
      <c r="C169" s="65" t="s">
        <v>830</v>
      </c>
      <c r="D169" s="54" t="s">
        <v>603</v>
      </c>
      <c r="E169" s="55">
        <v>1</v>
      </c>
      <c r="F169" s="66"/>
      <c r="G169" s="55"/>
      <c r="H169" s="66"/>
      <c r="I169" s="58">
        <f t="shared" si="30"/>
        <v>0</v>
      </c>
      <c r="J169" s="58">
        <f t="shared" si="32"/>
        <v>0</v>
      </c>
      <c r="K169" s="67">
        <f t="shared" si="33"/>
        <v>0</v>
      </c>
      <c r="L169" s="68"/>
    </row>
    <row r="170" s="33" customFormat="1" ht="36" outlineLevel="2" spans="1:12">
      <c r="A170" s="63">
        <f t="shared" si="31"/>
        <v>11</v>
      </c>
      <c r="B170" s="64" t="s">
        <v>831</v>
      </c>
      <c r="C170" s="65" t="s">
        <v>832</v>
      </c>
      <c r="D170" s="54" t="s">
        <v>603</v>
      </c>
      <c r="E170" s="55">
        <v>1</v>
      </c>
      <c r="F170" s="66"/>
      <c r="G170" s="55"/>
      <c r="H170" s="66"/>
      <c r="I170" s="58">
        <f t="shared" si="30"/>
        <v>0</v>
      </c>
      <c r="J170" s="58">
        <f t="shared" si="32"/>
        <v>0</v>
      </c>
      <c r="K170" s="67">
        <f t="shared" si="33"/>
        <v>0</v>
      </c>
      <c r="L170" s="68"/>
    </row>
    <row r="171" s="33" customFormat="1" ht="156" outlineLevel="2" spans="1:12">
      <c r="A171" s="63">
        <f t="shared" si="31"/>
        <v>12</v>
      </c>
      <c r="B171" s="64" t="s">
        <v>833</v>
      </c>
      <c r="C171" s="65" t="s">
        <v>834</v>
      </c>
      <c r="D171" s="54" t="s">
        <v>808</v>
      </c>
      <c r="E171" s="55">
        <v>186.656</v>
      </c>
      <c r="F171" s="66"/>
      <c r="G171" s="55"/>
      <c r="H171" s="66"/>
      <c r="I171" s="58">
        <f t="shared" si="30"/>
        <v>0</v>
      </c>
      <c r="J171" s="58">
        <f t="shared" si="32"/>
        <v>0</v>
      </c>
      <c r="K171" s="67">
        <f t="shared" si="33"/>
        <v>0</v>
      </c>
      <c r="L171" s="68"/>
    </row>
    <row r="172" s="33" customFormat="1" ht="156" outlineLevel="2" spans="1:12">
      <c r="A172" s="63">
        <f t="shared" si="31"/>
        <v>13</v>
      </c>
      <c r="B172" s="64" t="s">
        <v>833</v>
      </c>
      <c r="C172" s="65" t="s">
        <v>835</v>
      </c>
      <c r="D172" s="54" t="s">
        <v>808</v>
      </c>
      <c r="E172" s="55">
        <v>22.301</v>
      </c>
      <c r="F172" s="66"/>
      <c r="G172" s="55"/>
      <c r="H172" s="66"/>
      <c r="I172" s="58">
        <f t="shared" si="30"/>
        <v>0</v>
      </c>
      <c r="J172" s="58">
        <f t="shared" si="32"/>
        <v>0</v>
      </c>
      <c r="K172" s="67">
        <f t="shared" si="33"/>
        <v>0</v>
      </c>
      <c r="L172" s="68"/>
    </row>
    <row r="173" s="33" customFormat="1" ht="156" outlineLevel="2" spans="1:12">
      <c r="A173" s="63">
        <f t="shared" si="31"/>
        <v>14</v>
      </c>
      <c r="B173" s="64" t="s">
        <v>833</v>
      </c>
      <c r="C173" s="65" t="s">
        <v>810</v>
      </c>
      <c r="D173" s="54" t="s">
        <v>808</v>
      </c>
      <c r="E173" s="55">
        <v>9.919</v>
      </c>
      <c r="F173" s="66"/>
      <c r="G173" s="55"/>
      <c r="H173" s="66"/>
      <c r="I173" s="58">
        <f t="shared" si="30"/>
        <v>0</v>
      </c>
      <c r="J173" s="58">
        <f t="shared" si="32"/>
        <v>0</v>
      </c>
      <c r="K173" s="67">
        <f t="shared" si="33"/>
        <v>0</v>
      </c>
      <c r="L173" s="68"/>
    </row>
    <row r="174" s="33" customFormat="1" ht="156" outlineLevel="2" spans="1:12">
      <c r="A174" s="63">
        <f t="shared" si="31"/>
        <v>15</v>
      </c>
      <c r="B174" s="64" t="s">
        <v>833</v>
      </c>
      <c r="C174" s="65" t="s">
        <v>811</v>
      </c>
      <c r="D174" s="54" t="s">
        <v>808</v>
      </c>
      <c r="E174" s="55">
        <v>7.461</v>
      </c>
      <c r="F174" s="66"/>
      <c r="G174" s="55"/>
      <c r="H174" s="66"/>
      <c r="I174" s="58">
        <f t="shared" si="30"/>
        <v>0</v>
      </c>
      <c r="J174" s="58">
        <f t="shared" si="32"/>
        <v>0</v>
      </c>
      <c r="K174" s="67">
        <f t="shared" si="33"/>
        <v>0</v>
      </c>
      <c r="L174" s="68"/>
    </row>
    <row r="175" s="33" customFormat="1" ht="36" outlineLevel="2" spans="1:12">
      <c r="A175" s="63">
        <f t="shared" si="31"/>
        <v>16</v>
      </c>
      <c r="B175" s="64" t="s">
        <v>806</v>
      </c>
      <c r="C175" s="65" t="s">
        <v>807</v>
      </c>
      <c r="D175" s="54" t="s">
        <v>808</v>
      </c>
      <c r="E175" s="55">
        <v>2.366</v>
      </c>
      <c r="F175" s="66"/>
      <c r="G175" s="55"/>
      <c r="H175" s="66"/>
      <c r="I175" s="58">
        <f t="shared" si="30"/>
        <v>0</v>
      </c>
      <c r="J175" s="58">
        <f t="shared" si="32"/>
        <v>0</v>
      </c>
      <c r="K175" s="67">
        <f t="shared" si="33"/>
        <v>0</v>
      </c>
      <c r="L175" s="68"/>
    </row>
    <row r="176" s="33" customFormat="1" ht="20" customHeight="1" outlineLevel="1" spans="1:12">
      <c r="A176" s="81"/>
      <c r="B176" s="61" t="s">
        <v>836</v>
      </c>
      <c r="C176" s="77"/>
      <c r="D176" s="52"/>
      <c r="E176" s="78"/>
      <c r="F176" s="79"/>
      <c r="G176" s="79"/>
      <c r="H176" s="79"/>
      <c r="I176" s="58"/>
      <c r="J176" s="59"/>
      <c r="K176" s="59">
        <f>SUM(K177:K195)</f>
        <v>0</v>
      </c>
      <c r="L176" s="68"/>
    </row>
    <row r="177" s="33" customFormat="1" ht="60" outlineLevel="2" spans="1:12">
      <c r="A177" s="63">
        <f t="shared" ref="A177:A195" si="34">A176+1</f>
        <v>1</v>
      </c>
      <c r="B177" s="64" t="s">
        <v>837</v>
      </c>
      <c r="C177" s="65" t="s">
        <v>838</v>
      </c>
      <c r="D177" s="54" t="s">
        <v>603</v>
      </c>
      <c r="E177" s="55">
        <v>2</v>
      </c>
      <c r="F177" s="66"/>
      <c r="G177" s="55"/>
      <c r="H177" s="66"/>
      <c r="I177" s="58">
        <f t="shared" si="30"/>
        <v>0</v>
      </c>
      <c r="J177" s="58">
        <f t="shared" ref="J177:J195" si="35">F177+G177+H177+I177</f>
        <v>0</v>
      </c>
      <c r="K177" s="67">
        <f t="shared" ref="K177:K195" si="36">ROUND(E177*J177,2)</f>
        <v>0</v>
      </c>
      <c r="L177" s="68"/>
    </row>
    <row r="178" s="33" customFormat="1" ht="60" outlineLevel="2" spans="1:12">
      <c r="A178" s="63">
        <f t="shared" si="34"/>
        <v>2</v>
      </c>
      <c r="B178" s="64" t="s">
        <v>839</v>
      </c>
      <c r="C178" s="65" t="s">
        <v>840</v>
      </c>
      <c r="D178" s="54" t="s">
        <v>603</v>
      </c>
      <c r="E178" s="55">
        <v>3</v>
      </c>
      <c r="F178" s="66"/>
      <c r="G178" s="55"/>
      <c r="H178" s="66"/>
      <c r="I178" s="58">
        <f t="shared" si="30"/>
        <v>0</v>
      </c>
      <c r="J178" s="58">
        <f t="shared" si="35"/>
        <v>0</v>
      </c>
      <c r="K178" s="67">
        <f t="shared" si="36"/>
        <v>0</v>
      </c>
      <c r="L178" s="68"/>
    </row>
    <row r="179" s="33" customFormat="1" ht="84" outlineLevel="2" spans="1:12">
      <c r="A179" s="63">
        <f t="shared" si="34"/>
        <v>3</v>
      </c>
      <c r="B179" s="64" t="s">
        <v>841</v>
      </c>
      <c r="C179" s="65" t="s">
        <v>842</v>
      </c>
      <c r="D179" s="54" t="s">
        <v>603</v>
      </c>
      <c r="E179" s="55">
        <v>1</v>
      </c>
      <c r="F179" s="66"/>
      <c r="G179" s="55"/>
      <c r="H179" s="66"/>
      <c r="I179" s="58">
        <f t="shared" si="30"/>
        <v>0</v>
      </c>
      <c r="J179" s="58">
        <f t="shared" si="35"/>
        <v>0</v>
      </c>
      <c r="K179" s="67">
        <f t="shared" si="36"/>
        <v>0</v>
      </c>
      <c r="L179" s="68"/>
    </row>
    <row r="180" s="33" customFormat="1" ht="60" outlineLevel="2" spans="1:12">
      <c r="A180" s="63">
        <f t="shared" si="34"/>
        <v>4</v>
      </c>
      <c r="B180" s="64" t="s">
        <v>843</v>
      </c>
      <c r="C180" s="65" t="s">
        <v>844</v>
      </c>
      <c r="D180" s="54" t="s">
        <v>603</v>
      </c>
      <c r="E180" s="55">
        <v>1</v>
      </c>
      <c r="F180" s="66"/>
      <c r="G180" s="55"/>
      <c r="H180" s="66"/>
      <c r="I180" s="58">
        <f t="shared" si="30"/>
        <v>0</v>
      </c>
      <c r="J180" s="58">
        <f t="shared" si="35"/>
        <v>0</v>
      </c>
      <c r="K180" s="67">
        <f t="shared" si="36"/>
        <v>0</v>
      </c>
      <c r="L180" s="68"/>
    </row>
    <row r="181" s="33" customFormat="1" ht="60" outlineLevel="2" spans="1:12">
      <c r="A181" s="63">
        <f t="shared" si="34"/>
        <v>5</v>
      </c>
      <c r="B181" s="64" t="s">
        <v>845</v>
      </c>
      <c r="C181" s="65" t="s">
        <v>846</v>
      </c>
      <c r="D181" s="54" t="s">
        <v>603</v>
      </c>
      <c r="E181" s="55">
        <v>2</v>
      </c>
      <c r="F181" s="66"/>
      <c r="G181" s="55"/>
      <c r="H181" s="66"/>
      <c r="I181" s="58">
        <f t="shared" si="30"/>
        <v>0</v>
      </c>
      <c r="J181" s="58">
        <f t="shared" si="35"/>
        <v>0</v>
      </c>
      <c r="K181" s="67">
        <f t="shared" si="36"/>
        <v>0</v>
      </c>
      <c r="L181" s="68"/>
    </row>
    <row r="182" s="33" customFormat="1" ht="60" outlineLevel="2" spans="1:12">
      <c r="A182" s="63">
        <f t="shared" si="34"/>
        <v>6</v>
      </c>
      <c r="B182" s="64" t="s">
        <v>847</v>
      </c>
      <c r="C182" s="65" t="s">
        <v>848</v>
      </c>
      <c r="D182" s="54" t="s">
        <v>603</v>
      </c>
      <c r="E182" s="55">
        <v>2</v>
      </c>
      <c r="F182" s="66"/>
      <c r="G182" s="55"/>
      <c r="H182" s="66"/>
      <c r="I182" s="58">
        <f t="shared" si="30"/>
        <v>0</v>
      </c>
      <c r="J182" s="58">
        <f t="shared" si="35"/>
        <v>0</v>
      </c>
      <c r="K182" s="67">
        <f t="shared" si="36"/>
        <v>0</v>
      </c>
      <c r="L182" s="68"/>
    </row>
    <row r="183" s="33" customFormat="1" ht="36" outlineLevel="2" spans="1:12">
      <c r="A183" s="63">
        <f t="shared" si="34"/>
        <v>7</v>
      </c>
      <c r="B183" s="64" t="s">
        <v>849</v>
      </c>
      <c r="C183" s="65" t="s">
        <v>850</v>
      </c>
      <c r="D183" s="54" t="s">
        <v>603</v>
      </c>
      <c r="E183" s="55">
        <v>5.64</v>
      </c>
      <c r="F183" s="66"/>
      <c r="G183" s="55"/>
      <c r="H183" s="66"/>
      <c r="I183" s="58">
        <f t="shared" si="30"/>
        <v>0</v>
      </c>
      <c r="J183" s="58">
        <f t="shared" si="35"/>
        <v>0</v>
      </c>
      <c r="K183" s="67">
        <f t="shared" si="36"/>
        <v>0</v>
      </c>
      <c r="L183" s="68"/>
    </row>
    <row r="184" s="33" customFormat="1" ht="36" outlineLevel="2" spans="1:12">
      <c r="A184" s="63">
        <f t="shared" si="34"/>
        <v>8</v>
      </c>
      <c r="B184" s="64" t="s">
        <v>851</v>
      </c>
      <c r="C184" s="65" t="s">
        <v>852</v>
      </c>
      <c r="D184" s="54" t="s">
        <v>603</v>
      </c>
      <c r="E184" s="55">
        <v>1</v>
      </c>
      <c r="F184" s="66"/>
      <c r="G184" s="55"/>
      <c r="H184" s="66"/>
      <c r="I184" s="58">
        <f t="shared" si="30"/>
        <v>0</v>
      </c>
      <c r="J184" s="58">
        <f t="shared" si="35"/>
        <v>0</v>
      </c>
      <c r="K184" s="67">
        <f t="shared" si="36"/>
        <v>0</v>
      </c>
      <c r="L184" s="68"/>
    </row>
    <row r="185" s="33" customFormat="1" ht="36" outlineLevel="2" spans="1:12">
      <c r="A185" s="63">
        <f t="shared" si="34"/>
        <v>9</v>
      </c>
      <c r="B185" s="64" t="s">
        <v>853</v>
      </c>
      <c r="C185" s="65" t="s">
        <v>854</v>
      </c>
      <c r="D185" s="54" t="s">
        <v>603</v>
      </c>
      <c r="E185" s="55">
        <v>1</v>
      </c>
      <c r="F185" s="66"/>
      <c r="G185" s="55"/>
      <c r="H185" s="66"/>
      <c r="I185" s="58">
        <f t="shared" si="30"/>
        <v>0</v>
      </c>
      <c r="J185" s="58">
        <f t="shared" si="35"/>
        <v>0</v>
      </c>
      <c r="K185" s="67">
        <f t="shared" si="36"/>
        <v>0</v>
      </c>
      <c r="L185" s="68"/>
    </row>
    <row r="186" s="33" customFormat="1" ht="36" outlineLevel="2" spans="1:12">
      <c r="A186" s="63">
        <f t="shared" si="34"/>
        <v>10</v>
      </c>
      <c r="B186" s="64" t="s">
        <v>855</v>
      </c>
      <c r="C186" s="65" t="s">
        <v>856</v>
      </c>
      <c r="D186" s="54" t="s">
        <v>603</v>
      </c>
      <c r="E186" s="55">
        <v>1</v>
      </c>
      <c r="F186" s="66"/>
      <c r="G186" s="55"/>
      <c r="H186" s="66"/>
      <c r="I186" s="58">
        <f t="shared" si="30"/>
        <v>0</v>
      </c>
      <c r="J186" s="58">
        <f t="shared" si="35"/>
        <v>0</v>
      </c>
      <c r="K186" s="67">
        <f t="shared" si="36"/>
        <v>0</v>
      </c>
      <c r="L186" s="68"/>
    </row>
    <row r="187" s="33" customFormat="1" ht="36" outlineLevel="2" spans="1:12">
      <c r="A187" s="63">
        <f t="shared" si="34"/>
        <v>11</v>
      </c>
      <c r="B187" s="64" t="s">
        <v>855</v>
      </c>
      <c r="C187" s="65" t="s">
        <v>857</v>
      </c>
      <c r="D187" s="54" t="s">
        <v>603</v>
      </c>
      <c r="E187" s="55">
        <v>1</v>
      </c>
      <c r="F187" s="66"/>
      <c r="G187" s="55"/>
      <c r="H187" s="66"/>
      <c r="I187" s="58">
        <f t="shared" si="30"/>
        <v>0</v>
      </c>
      <c r="J187" s="58">
        <f t="shared" si="35"/>
        <v>0</v>
      </c>
      <c r="K187" s="67">
        <f t="shared" si="36"/>
        <v>0</v>
      </c>
      <c r="L187" s="68"/>
    </row>
    <row r="188" s="33" customFormat="1" ht="36" outlineLevel="2" spans="1:12">
      <c r="A188" s="63">
        <f t="shared" si="34"/>
        <v>12</v>
      </c>
      <c r="B188" s="64" t="s">
        <v>855</v>
      </c>
      <c r="C188" s="65" t="s">
        <v>858</v>
      </c>
      <c r="D188" s="54" t="s">
        <v>603</v>
      </c>
      <c r="E188" s="55">
        <v>2</v>
      </c>
      <c r="F188" s="66"/>
      <c r="G188" s="55"/>
      <c r="H188" s="66"/>
      <c r="I188" s="58">
        <f t="shared" si="30"/>
        <v>0</v>
      </c>
      <c r="J188" s="58">
        <f t="shared" si="35"/>
        <v>0</v>
      </c>
      <c r="K188" s="67">
        <f t="shared" si="36"/>
        <v>0</v>
      </c>
      <c r="L188" s="68"/>
    </row>
    <row r="189" s="33" customFormat="1" ht="36" outlineLevel="2" spans="1:12">
      <c r="A189" s="63">
        <f t="shared" si="34"/>
        <v>13</v>
      </c>
      <c r="B189" s="64" t="s">
        <v>855</v>
      </c>
      <c r="C189" s="65" t="s">
        <v>859</v>
      </c>
      <c r="D189" s="54" t="s">
        <v>603</v>
      </c>
      <c r="E189" s="55">
        <v>7</v>
      </c>
      <c r="F189" s="66"/>
      <c r="G189" s="55"/>
      <c r="H189" s="66"/>
      <c r="I189" s="58">
        <f t="shared" si="30"/>
        <v>0</v>
      </c>
      <c r="J189" s="58">
        <f t="shared" si="35"/>
        <v>0</v>
      </c>
      <c r="K189" s="67">
        <f t="shared" si="36"/>
        <v>0</v>
      </c>
      <c r="L189" s="68"/>
    </row>
    <row r="190" s="33" customFormat="1" ht="36" outlineLevel="2" spans="1:12">
      <c r="A190" s="63">
        <f t="shared" si="34"/>
        <v>14</v>
      </c>
      <c r="B190" s="64" t="s">
        <v>855</v>
      </c>
      <c r="C190" s="65" t="s">
        <v>860</v>
      </c>
      <c r="D190" s="54" t="s">
        <v>603</v>
      </c>
      <c r="E190" s="55">
        <v>3</v>
      </c>
      <c r="F190" s="66"/>
      <c r="G190" s="55"/>
      <c r="H190" s="66"/>
      <c r="I190" s="58">
        <f t="shared" si="30"/>
        <v>0</v>
      </c>
      <c r="J190" s="58">
        <f t="shared" si="35"/>
        <v>0</v>
      </c>
      <c r="K190" s="67">
        <f t="shared" si="36"/>
        <v>0</v>
      </c>
      <c r="L190" s="68"/>
    </row>
    <row r="191" s="33" customFormat="1" ht="36" outlineLevel="2" spans="1:12">
      <c r="A191" s="63">
        <f t="shared" si="34"/>
        <v>15</v>
      </c>
      <c r="B191" s="64" t="s">
        <v>855</v>
      </c>
      <c r="C191" s="65" t="s">
        <v>861</v>
      </c>
      <c r="D191" s="54" t="s">
        <v>603</v>
      </c>
      <c r="E191" s="55">
        <v>8</v>
      </c>
      <c r="F191" s="66"/>
      <c r="G191" s="55"/>
      <c r="H191" s="66"/>
      <c r="I191" s="58">
        <f t="shared" si="30"/>
        <v>0</v>
      </c>
      <c r="J191" s="58">
        <f t="shared" si="35"/>
        <v>0</v>
      </c>
      <c r="K191" s="67">
        <f t="shared" si="36"/>
        <v>0</v>
      </c>
      <c r="L191" s="68"/>
    </row>
    <row r="192" s="33" customFormat="1" ht="60" outlineLevel="2" spans="1:12">
      <c r="A192" s="63">
        <f t="shared" si="34"/>
        <v>16</v>
      </c>
      <c r="B192" s="64" t="s">
        <v>862</v>
      </c>
      <c r="C192" s="65" t="s">
        <v>863</v>
      </c>
      <c r="D192" s="54" t="s">
        <v>808</v>
      </c>
      <c r="E192" s="55">
        <v>139.067</v>
      </c>
      <c r="F192" s="66"/>
      <c r="G192" s="55"/>
      <c r="H192" s="66"/>
      <c r="I192" s="58">
        <f t="shared" si="30"/>
        <v>0</v>
      </c>
      <c r="J192" s="58">
        <f t="shared" si="35"/>
        <v>0</v>
      </c>
      <c r="K192" s="67">
        <f t="shared" si="36"/>
        <v>0</v>
      </c>
      <c r="L192" s="68"/>
    </row>
    <row r="193" s="33" customFormat="1" ht="60" outlineLevel="2" spans="1:12">
      <c r="A193" s="63">
        <f t="shared" si="34"/>
        <v>17</v>
      </c>
      <c r="B193" s="64" t="s">
        <v>862</v>
      </c>
      <c r="C193" s="65" t="s">
        <v>864</v>
      </c>
      <c r="D193" s="54" t="s">
        <v>808</v>
      </c>
      <c r="E193" s="55">
        <v>1.592</v>
      </c>
      <c r="F193" s="66"/>
      <c r="G193" s="55"/>
      <c r="H193" s="66"/>
      <c r="I193" s="58">
        <f t="shared" si="30"/>
        <v>0</v>
      </c>
      <c r="J193" s="58">
        <f t="shared" si="35"/>
        <v>0</v>
      </c>
      <c r="K193" s="67">
        <f t="shared" si="36"/>
        <v>0</v>
      </c>
      <c r="L193" s="68"/>
    </row>
    <row r="194" s="33" customFormat="1" ht="60" outlineLevel="2" spans="1:12">
      <c r="A194" s="63">
        <f t="shared" si="34"/>
        <v>18</v>
      </c>
      <c r="B194" s="64" t="s">
        <v>862</v>
      </c>
      <c r="C194" s="65" t="s">
        <v>865</v>
      </c>
      <c r="D194" s="54" t="s">
        <v>808</v>
      </c>
      <c r="E194" s="55">
        <v>3.269</v>
      </c>
      <c r="F194" s="66"/>
      <c r="G194" s="55"/>
      <c r="H194" s="66"/>
      <c r="I194" s="58">
        <f t="shared" si="30"/>
        <v>0</v>
      </c>
      <c r="J194" s="58">
        <f t="shared" si="35"/>
        <v>0</v>
      </c>
      <c r="K194" s="67">
        <f t="shared" si="36"/>
        <v>0</v>
      </c>
      <c r="L194" s="68"/>
    </row>
    <row r="195" s="33" customFormat="1" ht="36" outlineLevel="2" spans="1:12">
      <c r="A195" s="63">
        <f t="shared" si="34"/>
        <v>19</v>
      </c>
      <c r="B195" s="64" t="s">
        <v>806</v>
      </c>
      <c r="C195" s="65" t="s">
        <v>807</v>
      </c>
      <c r="D195" s="54" t="s">
        <v>808</v>
      </c>
      <c r="E195" s="55">
        <v>2.89</v>
      </c>
      <c r="F195" s="66"/>
      <c r="G195" s="55"/>
      <c r="H195" s="66"/>
      <c r="I195" s="58">
        <f t="shared" si="30"/>
        <v>0</v>
      </c>
      <c r="J195" s="58">
        <f t="shared" si="35"/>
        <v>0</v>
      </c>
      <c r="K195" s="67">
        <f t="shared" si="36"/>
        <v>0</v>
      </c>
      <c r="L195" s="68"/>
    </row>
    <row r="196" s="33" customFormat="1" ht="20" customHeight="1" outlineLevel="1" spans="1:12">
      <c r="A196" s="81"/>
      <c r="B196" s="61" t="s">
        <v>866</v>
      </c>
      <c r="C196" s="77"/>
      <c r="D196" s="52"/>
      <c r="E196" s="78"/>
      <c r="F196" s="79"/>
      <c r="G196" s="79"/>
      <c r="H196" s="79"/>
      <c r="I196" s="58"/>
      <c r="J196" s="59"/>
      <c r="K196" s="59">
        <f>SUM(K197:K208)</f>
        <v>0</v>
      </c>
      <c r="L196" s="68"/>
    </row>
    <row r="197" s="33" customFormat="1" ht="72" outlineLevel="2" spans="1:12">
      <c r="A197" s="63">
        <f t="shared" ref="A197:A208" si="37">A196+1</f>
        <v>1</v>
      </c>
      <c r="B197" s="64" t="s">
        <v>867</v>
      </c>
      <c r="C197" s="65" t="s">
        <v>868</v>
      </c>
      <c r="D197" s="54" t="s">
        <v>65</v>
      </c>
      <c r="E197" s="55">
        <v>200.475</v>
      </c>
      <c r="F197" s="66"/>
      <c r="G197" s="55"/>
      <c r="H197" s="66"/>
      <c r="I197" s="58">
        <f t="shared" si="30"/>
        <v>0</v>
      </c>
      <c r="J197" s="58">
        <f t="shared" ref="J197:J208" si="38">F197+G197+H197+I197</f>
        <v>0</v>
      </c>
      <c r="K197" s="67">
        <f t="shared" ref="K197:K208" si="39">ROUND(E197*J197,2)</f>
        <v>0</v>
      </c>
      <c r="L197" s="68"/>
    </row>
    <row r="198" s="33" customFormat="1" ht="72" outlineLevel="2" spans="1:12">
      <c r="A198" s="63">
        <f t="shared" si="37"/>
        <v>2</v>
      </c>
      <c r="B198" s="64" t="s">
        <v>869</v>
      </c>
      <c r="C198" s="65" t="s">
        <v>870</v>
      </c>
      <c r="D198" s="54" t="s">
        <v>65</v>
      </c>
      <c r="E198" s="55">
        <v>128.354</v>
      </c>
      <c r="F198" s="66"/>
      <c r="G198" s="55"/>
      <c r="H198" s="66"/>
      <c r="I198" s="58">
        <f t="shared" si="30"/>
        <v>0</v>
      </c>
      <c r="J198" s="58">
        <f t="shared" si="38"/>
        <v>0</v>
      </c>
      <c r="K198" s="67">
        <f t="shared" si="39"/>
        <v>0</v>
      </c>
      <c r="L198" s="68"/>
    </row>
    <row r="199" s="33" customFormat="1" ht="72" outlineLevel="2" spans="1:12">
      <c r="A199" s="63">
        <f t="shared" si="37"/>
        <v>3</v>
      </c>
      <c r="B199" s="64" t="s">
        <v>871</v>
      </c>
      <c r="C199" s="65" t="s">
        <v>872</v>
      </c>
      <c r="D199" s="54" t="s">
        <v>65</v>
      </c>
      <c r="E199" s="55">
        <v>42.848</v>
      </c>
      <c r="F199" s="66"/>
      <c r="G199" s="55"/>
      <c r="H199" s="66"/>
      <c r="I199" s="58">
        <f t="shared" si="30"/>
        <v>0</v>
      </c>
      <c r="J199" s="58">
        <f t="shared" si="38"/>
        <v>0</v>
      </c>
      <c r="K199" s="67">
        <f t="shared" si="39"/>
        <v>0</v>
      </c>
      <c r="L199" s="68"/>
    </row>
    <row r="200" s="33" customFormat="1" ht="72" outlineLevel="2" spans="1:12">
      <c r="A200" s="63">
        <f t="shared" si="37"/>
        <v>4</v>
      </c>
      <c r="B200" s="64" t="s">
        <v>873</v>
      </c>
      <c r="C200" s="65" t="s">
        <v>874</v>
      </c>
      <c r="D200" s="54" t="s">
        <v>65</v>
      </c>
      <c r="E200" s="55">
        <v>258.484</v>
      </c>
      <c r="F200" s="66"/>
      <c r="G200" s="55"/>
      <c r="H200" s="66"/>
      <c r="I200" s="58">
        <f t="shared" si="30"/>
        <v>0</v>
      </c>
      <c r="J200" s="58">
        <f t="shared" si="38"/>
        <v>0</v>
      </c>
      <c r="K200" s="67">
        <f t="shared" si="39"/>
        <v>0</v>
      </c>
      <c r="L200" s="68"/>
    </row>
    <row r="201" s="33" customFormat="1" ht="72" outlineLevel="2" spans="1:12">
      <c r="A201" s="63">
        <f t="shared" si="37"/>
        <v>5</v>
      </c>
      <c r="B201" s="64" t="s">
        <v>875</v>
      </c>
      <c r="C201" s="65" t="s">
        <v>876</v>
      </c>
      <c r="D201" s="54" t="s">
        <v>65</v>
      </c>
      <c r="E201" s="55">
        <v>418.361</v>
      </c>
      <c r="F201" s="66"/>
      <c r="G201" s="55"/>
      <c r="H201" s="66"/>
      <c r="I201" s="58">
        <f t="shared" si="30"/>
        <v>0</v>
      </c>
      <c r="J201" s="58">
        <f t="shared" si="38"/>
        <v>0</v>
      </c>
      <c r="K201" s="67">
        <f t="shared" si="39"/>
        <v>0</v>
      </c>
      <c r="L201" s="68"/>
    </row>
    <row r="202" s="33" customFormat="1" ht="72" outlineLevel="2" spans="1:12">
      <c r="A202" s="63">
        <f t="shared" si="37"/>
        <v>6</v>
      </c>
      <c r="B202" s="64" t="s">
        <v>877</v>
      </c>
      <c r="C202" s="65" t="s">
        <v>878</v>
      </c>
      <c r="D202" s="54" t="s">
        <v>65</v>
      </c>
      <c r="E202" s="55">
        <v>293.799</v>
      </c>
      <c r="F202" s="66"/>
      <c r="G202" s="55"/>
      <c r="H202" s="66"/>
      <c r="I202" s="58">
        <f t="shared" si="30"/>
        <v>0</v>
      </c>
      <c r="J202" s="58">
        <f t="shared" si="38"/>
        <v>0</v>
      </c>
      <c r="K202" s="67">
        <f t="shared" si="39"/>
        <v>0</v>
      </c>
      <c r="L202" s="68"/>
    </row>
    <row r="203" s="33" customFormat="1" ht="72" outlineLevel="2" spans="1:12">
      <c r="A203" s="63">
        <f t="shared" si="37"/>
        <v>7</v>
      </c>
      <c r="B203" s="64" t="s">
        <v>879</v>
      </c>
      <c r="C203" s="65" t="s">
        <v>880</v>
      </c>
      <c r="D203" s="54" t="s">
        <v>65</v>
      </c>
      <c r="E203" s="55">
        <v>123.62</v>
      </c>
      <c r="F203" s="66"/>
      <c r="G203" s="55"/>
      <c r="H203" s="66"/>
      <c r="I203" s="58">
        <f t="shared" si="30"/>
        <v>0</v>
      </c>
      <c r="J203" s="58">
        <f t="shared" si="38"/>
        <v>0</v>
      </c>
      <c r="K203" s="67">
        <f t="shared" si="39"/>
        <v>0</v>
      </c>
      <c r="L203" s="68"/>
    </row>
    <row r="204" s="33" customFormat="1" ht="72" outlineLevel="2" spans="1:12">
      <c r="A204" s="63">
        <f t="shared" si="37"/>
        <v>8</v>
      </c>
      <c r="B204" s="64" t="s">
        <v>881</v>
      </c>
      <c r="C204" s="65" t="s">
        <v>882</v>
      </c>
      <c r="D204" s="54" t="s">
        <v>65</v>
      </c>
      <c r="E204" s="55">
        <v>107.8</v>
      </c>
      <c r="F204" s="66"/>
      <c r="G204" s="55"/>
      <c r="H204" s="66"/>
      <c r="I204" s="58">
        <f t="shared" ref="I204:I222" si="40">(F204+G204+H204)*$I$3</f>
        <v>0</v>
      </c>
      <c r="J204" s="58">
        <f t="shared" si="38"/>
        <v>0</v>
      </c>
      <c r="K204" s="67">
        <f t="shared" si="39"/>
        <v>0</v>
      </c>
      <c r="L204" s="68"/>
    </row>
    <row r="205" s="33" customFormat="1" ht="72" outlineLevel="2" spans="1:12">
      <c r="A205" s="63">
        <f t="shared" si="37"/>
        <v>9</v>
      </c>
      <c r="B205" s="64" t="s">
        <v>883</v>
      </c>
      <c r="C205" s="65" t="s">
        <v>884</v>
      </c>
      <c r="D205" s="54" t="s">
        <v>65</v>
      </c>
      <c r="E205" s="55">
        <v>305.433</v>
      </c>
      <c r="F205" s="66"/>
      <c r="G205" s="55"/>
      <c r="H205" s="66"/>
      <c r="I205" s="58">
        <f t="shared" si="40"/>
        <v>0</v>
      </c>
      <c r="J205" s="58">
        <f t="shared" si="38"/>
        <v>0</v>
      </c>
      <c r="K205" s="67">
        <f t="shared" si="39"/>
        <v>0</v>
      </c>
      <c r="L205" s="68"/>
    </row>
    <row r="206" s="33" customFormat="1" ht="36" outlineLevel="2" spans="1:12">
      <c r="A206" s="63">
        <f t="shared" si="37"/>
        <v>10</v>
      </c>
      <c r="B206" s="64" t="s">
        <v>885</v>
      </c>
      <c r="C206" s="65" t="s">
        <v>886</v>
      </c>
      <c r="D206" s="54" t="s">
        <v>65</v>
      </c>
      <c r="E206" s="55">
        <v>134.57</v>
      </c>
      <c r="F206" s="66"/>
      <c r="G206" s="55"/>
      <c r="H206" s="66"/>
      <c r="I206" s="58">
        <f t="shared" si="40"/>
        <v>0</v>
      </c>
      <c r="J206" s="58">
        <f t="shared" si="38"/>
        <v>0</v>
      </c>
      <c r="K206" s="67">
        <f t="shared" si="39"/>
        <v>0</v>
      </c>
      <c r="L206" s="68"/>
    </row>
    <row r="207" s="33" customFormat="1" ht="36" outlineLevel="2" spans="1:12">
      <c r="A207" s="63">
        <f t="shared" si="37"/>
        <v>11</v>
      </c>
      <c r="B207" s="64" t="s">
        <v>887</v>
      </c>
      <c r="C207" s="65" t="s">
        <v>888</v>
      </c>
      <c r="D207" s="54" t="s">
        <v>603</v>
      </c>
      <c r="E207" s="55">
        <v>22</v>
      </c>
      <c r="F207" s="66"/>
      <c r="G207" s="55"/>
      <c r="H207" s="66"/>
      <c r="I207" s="58">
        <f t="shared" si="40"/>
        <v>0</v>
      </c>
      <c r="J207" s="58">
        <f t="shared" si="38"/>
        <v>0</v>
      </c>
      <c r="K207" s="67">
        <f t="shared" si="39"/>
        <v>0</v>
      </c>
      <c r="L207" s="68"/>
    </row>
    <row r="208" s="33" customFormat="1" ht="36" outlineLevel="2" spans="1:12">
      <c r="A208" s="63">
        <f t="shared" si="37"/>
        <v>12</v>
      </c>
      <c r="B208" s="64" t="s">
        <v>889</v>
      </c>
      <c r="C208" s="65" t="s">
        <v>890</v>
      </c>
      <c r="D208" s="54" t="s">
        <v>603</v>
      </c>
      <c r="E208" s="55">
        <v>37</v>
      </c>
      <c r="F208" s="66"/>
      <c r="G208" s="55"/>
      <c r="H208" s="66"/>
      <c r="I208" s="58">
        <f t="shared" si="40"/>
        <v>0</v>
      </c>
      <c r="J208" s="58">
        <f t="shared" si="38"/>
        <v>0</v>
      </c>
      <c r="K208" s="67">
        <f t="shared" si="39"/>
        <v>0</v>
      </c>
      <c r="L208" s="68"/>
    </row>
    <row r="209" s="33" customFormat="1" ht="20" customHeight="1" outlineLevel="1" spans="1:12">
      <c r="A209" s="81"/>
      <c r="B209" s="61" t="s">
        <v>891</v>
      </c>
      <c r="C209" s="77"/>
      <c r="D209" s="52"/>
      <c r="E209" s="78"/>
      <c r="F209" s="79"/>
      <c r="G209" s="79"/>
      <c r="H209" s="79"/>
      <c r="I209" s="58"/>
      <c r="J209" s="59"/>
      <c r="K209" s="59">
        <f>SUM(K210:K216)</f>
        <v>0</v>
      </c>
      <c r="L209" s="68"/>
    </row>
    <row r="210" s="33" customFormat="1" ht="24" outlineLevel="2" spans="1:12">
      <c r="A210" s="63">
        <f t="shared" ref="A210:A216" si="41">A209+1</f>
        <v>1</v>
      </c>
      <c r="B210" s="54" t="s">
        <v>892</v>
      </c>
      <c r="C210" s="65" t="s">
        <v>893</v>
      </c>
      <c r="D210" s="54" t="s">
        <v>603</v>
      </c>
      <c r="E210" s="55">
        <v>5</v>
      </c>
      <c r="F210" s="66"/>
      <c r="G210" s="55"/>
      <c r="H210" s="66"/>
      <c r="I210" s="58">
        <f t="shared" si="40"/>
        <v>0</v>
      </c>
      <c r="J210" s="58">
        <f t="shared" ref="J210:J216" si="42">F210+G210+H210+I210</f>
        <v>0</v>
      </c>
      <c r="K210" s="67">
        <f t="shared" ref="K210:K216" si="43">ROUND(E210*J210,2)</f>
        <v>0</v>
      </c>
      <c r="L210" s="68"/>
    </row>
    <row r="211" s="33" customFormat="1" ht="24" outlineLevel="2" spans="1:12">
      <c r="A211" s="63">
        <f t="shared" si="41"/>
        <v>2</v>
      </c>
      <c r="B211" s="54" t="s">
        <v>894</v>
      </c>
      <c r="C211" s="65" t="s">
        <v>895</v>
      </c>
      <c r="D211" s="54" t="s">
        <v>603</v>
      </c>
      <c r="E211" s="55">
        <v>74</v>
      </c>
      <c r="F211" s="66"/>
      <c r="G211" s="55"/>
      <c r="H211" s="66"/>
      <c r="I211" s="58">
        <f t="shared" si="40"/>
        <v>0</v>
      </c>
      <c r="J211" s="58">
        <f t="shared" si="42"/>
        <v>0</v>
      </c>
      <c r="K211" s="67">
        <f t="shared" si="43"/>
        <v>0</v>
      </c>
      <c r="L211" s="68"/>
    </row>
    <row r="212" s="33" customFormat="1" ht="36" outlineLevel="2" spans="1:12">
      <c r="A212" s="63">
        <f t="shared" si="41"/>
        <v>3</v>
      </c>
      <c r="B212" s="54" t="s">
        <v>896</v>
      </c>
      <c r="C212" s="65" t="s">
        <v>897</v>
      </c>
      <c r="D212" s="54" t="s">
        <v>65</v>
      </c>
      <c r="E212" s="55">
        <v>680.663</v>
      </c>
      <c r="F212" s="66"/>
      <c r="G212" s="55"/>
      <c r="H212" s="66"/>
      <c r="I212" s="58">
        <f t="shared" si="40"/>
        <v>0</v>
      </c>
      <c r="J212" s="58">
        <f t="shared" si="42"/>
        <v>0</v>
      </c>
      <c r="K212" s="67">
        <f t="shared" si="43"/>
        <v>0</v>
      </c>
      <c r="L212" s="68"/>
    </row>
    <row r="213" s="33" customFormat="1" ht="36" outlineLevel="2" spans="1:12">
      <c r="A213" s="63">
        <f t="shared" si="41"/>
        <v>4</v>
      </c>
      <c r="B213" s="54" t="s">
        <v>898</v>
      </c>
      <c r="C213" s="65" t="s">
        <v>899</v>
      </c>
      <c r="D213" s="54" t="s">
        <v>65</v>
      </c>
      <c r="E213" s="55">
        <v>688.752</v>
      </c>
      <c r="F213" s="66"/>
      <c r="G213" s="55"/>
      <c r="H213" s="66"/>
      <c r="I213" s="58">
        <f t="shared" si="40"/>
        <v>0</v>
      </c>
      <c r="J213" s="58">
        <f t="shared" si="42"/>
        <v>0</v>
      </c>
      <c r="K213" s="67">
        <f t="shared" si="43"/>
        <v>0</v>
      </c>
      <c r="L213" s="68"/>
    </row>
    <row r="214" s="33" customFormat="1" ht="36" outlineLevel="2" spans="1:12">
      <c r="A214" s="63">
        <f t="shared" si="41"/>
        <v>5</v>
      </c>
      <c r="B214" s="54" t="s">
        <v>900</v>
      </c>
      <c r="C214" s="65" t="s">
        <v>901</v>
      </c>
      <c r="D214" s="54" t="s">
        <v>65</v>
      </c>
      <c r="E214" s="55">
        <v>1467.815</v>
      </c>
      <c r="F214" s="66"/>
      <c r="G214" s="55"/>
      <c r="H214" s="66"/>
      <c r="I214" s="58">
        <f t="shared" si="40"/>
        <v>0</v>
      </c>
      <c r="J214" s="58">
        <f t="shared" si="42"/>
        <v>0</v>
      </c>
      <c r="K214" s="67">
        <f t="shared" si="43"/>
        <v>0</v>
      </c>
      <c r="L214" s="68"/>
    </row>
    <row r="215" s="33" customFormat="1" ht="48" outlineLevel="2" spans="1:12">
      <c r="A215" s="63">
        <f t="shared" si="41"/>
        <v>6</v>
      </c>
      <c r="B215" s="54" t="s">
        <v>902</v>
      </c>
      <c r="C215" s="65" t="s">
        <v>659</v>
      </c>
      <c r="D215" s="54" t="s">
        <v>65</v>
      </c>
      <c r="E215" s="55">
        <v>39</v>
      </c>
      <c r="F215" s="66"/>
      <c r="G215" s="55"/>
      <c r="H215" s="66"/>
      <c r="I215" s="58">
        <f t="shared" si="40"/>
        <v>0</v>
      </c>
      <c r="J215" s="58">
        <f t="shared" si="42"/>
        <v>0</v>
      </c>
      <c r="K215" s="67">
        <f t="shared" si="43"/>
        <v>0</v>
      </c>
      <c r="L215" s="68"/>
    </row>
    <row r="216" s="33" customFormat="1" ht="48" outlineLevel="2" spans="1:12">
      <c r="A216" s="63">
        <f t="shared" si="41"/>
        <v>7</v>
      </c>
      <c r="B216" s="54" t="s">
        <v>903</v>
      </c>
      <c r="C216" s="65" t="s">
        <v>904</v>
      </c>
      <c r="D216" s="54" t="s">
        <v>65</v>
      </c>
      <c r="E216" s="55">
        <v>10.9</v>
      </c>
      <c r="F216" s="66"/>
      <c r="G216" s="55"/>
      <c r="H216" s="66"/>
      <c r="I216" s="58">
        <f t="shared" si="40"/>
        <v>0</v>
      </c>
      <c r="J216" s="58">
        <f t="shared" si="42"/>
        <v>0</v>
      </c>
      <c r="K216" s="67">
        <f t="shared" si="43"/>
        <v>0</v>
      </c>
      <c r="L216" s="68"/>
    </row>
    <row r="217" s="33" customFormat="1" ht="25" customHeight="1" spans="1:12">
      <c r="A217" s="81"/>
      <c r="B217" s="52" t="s">
        <v>905</v>
      </c>
      <c r="C217" s="77"/>
      <c r="D217" s="52"/>
      <c r="E217" s="78"/>
      <c r="F217" s="79"/>
      <c r="G217" s="79"/>
      <c r="H217" s="79"/>
      <c r="I217" s="58"/>
      <c r="J217" s="59"/>
      <c r="K217" s="59">
        <f>SUM(K218:K222)</f>
        <v>0</v>
      </c>
      <c r="L217" s="68"/>
    </row>
    <row r="218" s="33" customFormat="1" ht="30" customHeight="1" outlineLevel="2" spans="1:12">
      <c r="A218" s="63">
        <f t="shared" ref="A218:A222" si="44">A217+1</f>
        <v>1</v>
      </c>
      <c r="B218" s="54"/>
      <c r="C218" s="65"/>
      <c r="D218" s="54"/>
      <c r="E218" s="55"/>
      <c r="F218" s="66"/>
      <c r="G218" s="66"/>
      <c r="H218" s="66"/>
      <c r="I218" s="58">
        <f t="shared" si="40"/>
        <v>0</v>
      </c>
      <c r="J218" s="58">
        <f t="shared" ref="J218:J222" si="45">F218+G218+H218+I218</f>
        <v>0</v>
      </c>
      <c r="K218" s="67">
        <f t="shared" ref="K218:K222" si="46">ROUND(E218*J218,2)</f>
        <v>0</v>
      </c>
      <c r="L218" s="68"/>
    </row>
    <row r="219" s="33" customFormat="1" ht="30" customHeight="1" outlineLevel="2" spans="1:12">
      <c r="A219" s="63">
        <f t="shared" si="44"/>
        <v>2</v>
      </c>
      <c r="B219" s="54"/>
      <c r="C219" s="65"/>
      <c r="D219" s="82"/>
      <c r="E219" s="55"/>
      <c r="F219" s="66"/>
      <c r="G219" s="66"/>
      <c r="H219" s="66"/>
      <c r="I219" s="58">
        <f t="shared" si="40"/>
        <v>0</v>
      </c>
      <c r="J219" s="58">
        <f t="shared" si="45"/>
        <v>0</v>
      </c>
      <c r="K219" s="67">
        <f t="shared" si="46"/>
        <v>0</v>
      </c>
      <c r="L219" s="68"/>
    </row>
    <row r="220" s="33" customFormat="1" ht="30" customHeight="1" outlineLevel="2" spans="1:12">
      <c r="A220" s="63">
        <f t="shared" si="44"/>
        <v>3</v>
      </c>
      <c r="B220" s="54"/>
      <c r="C220" s="65"/>
      <c r="D220" s="82"/>
      <c r="E220" s="55"/>
      <c r="F220" s="66"/>
      <c r="G220" s="66"/>
      <c r="H220" s="66"/>
      <c r="I220" s="58">
        <f t="shared" si="40"/>
        <v>0</v>
      </c>
      <c r="J220" s="58">
        <f t="shared" si="45"/>
        <v>0</v>
      </c>
      <c r="K220" s="67">
        <f t="shared" si="46"/>
        <v>0</v>
      </c>
      <c r="L220" s="68"/>
    </row>
    <row r="221" s="33" customFormat="1" ht="30" customHeight="1" outlineLevel="2" spans="1:12">
      <c r="A221" s="63">
        <f t="shared" si="44"/>
        <v>4</v>
      </c>
      <c r="B221" s="54"/>
      <c r="C221" s="65"/>
      <c r="D221" s="82"/>
      <c r="E221" s="55"/>
      <c r="F221" s="66"/>
      <c r="G221" s="66"/>
      <c r="H221" s="66"/>
      <c r="I221" s="58">
        <f t="shared" si="40"/>
        <v>0</v>
      </c>
      <c r="J221" s="58">
        <f t="shared" si="45"/>
        <v>0</v>
      </c>
      <c r="K221" s="67">
        <f t="shared" si="46"/>
        <v>0</v>
      </c>
      <c r="L221" s="68"/>
    </row>
    <row r="222" s="33" customFormat="1" ht="30" customHeight="1" outlineLevel="2" spans="1:12">
      <c r="A222" s="63">
        <f t="shared" si="44"/>
        <v>5</v>
      </c>
      <c r="B222" s="54"/>
      <c r="C222" s="65"/>
      <c r="D222" s="82"/>
      <c r="E222" s="55"/>
      <c r="F222" s="66"/>
      <c r="G222" s="66"/>
      <c r="H222" s="66"/>
      <c r="I222" s="58">
        <f t="shared" si="40"/>
        <v>0</v>
      </c>
      <c r="J222" s="58">
        <f t="shared" si="45"/>
        <v>0</v>
      </c>
      <c r="K222" s="67">
        <f t="shared" si="46"/>
        <v>0</v>
      </c>
      <c r="L222" s="68"/>
    </row>
    <row r="223" s="33" customFormat="1" ht="30" customHeight="1" spans="1:12">
      <c r="A223" s="83" t="s">
        <v>488</v>
      </c>
      <c r="B223" s="83"/>
      <c r="C223" s="83"/>
      <c r="D223" s="84"/>
      <c r="E223" s="55"/>
      <c r="F223" s="66"/>
      <c r="G223" s="66"/>
      <c r="H223" s="66"/>
      <c r="I223" s="58"/>
      <c r="J223" s="58"/>
      <c r="K223" s="59">
        <f>+K87+K112+K4+K135+K217</f>
        <v>0</v>
      </c>
      <c r="L223" s="68"/>
    </row>
    <row r="226" spans="11:11">
      <c r="K226" s="85"/>
    </row>
  </sheetData>
  <mergeCells count="13">
    <mergeCell ref="A1:L1"/>
    <mergeCell ref="A223:C223"/>
    <mergeCell ref="A2:A3"/>
    <mergeCell ref="B2:B3"/>
    <mergeCell ref="C2:C3"/>
    <mergeCell ref="D2:D3"/>
    <mergeCell ref="E2:E3"/>
    <mergeCell ref="F2:F3"/>
    <mergeCell ref="G2:G3"/>
    <mergeCell ref="H2:H3"/>
    <mergeCell ref="J2:J3"/>
    <mergeCell ref="K2:K3"/>
    <mergeCell ref="L2:L3"/>
  </mergeCells>
  <pageMargins left="0.751388888888889" right="0.751388888888889" top="1" bottom="1" header="0.5" footer="0.5"/>
  <pageSetup paperSize="9" scale="75" fitToHeight="0" orientation="landscape" horizontalDpi="600"/>
  <headerFooter/>
  <rowBreaks count="1" manualBreakCount="1">
    <brk id="236" max="16383"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pageSetUpPr fitToPage="1"/>
  </sheetPr>
  <dimension ref="A1:L7"/>
  <sheetViews>
    <sheetView view="pageBreakPreview" zoomScale="110" zoomScaleNormal="100" workbookViewId="0">
      <selection activeCell="F6" sqref="F6"/>
    </sheetView>
  </sheetViews>
  <sheetFormatPr defaultColWidth="10" defaultRowHeight="11.25" outlineLevelRow="6"/>
  <cols>
    <col min="1" max="1" width="6.98333333333333" style="1" customWidth="1"/>
    <col min="2" max="2" width="24.1083333333333" style="3" customWidth="1"/>
    <col min="3" max="3" width="49.0083333333333" style="1" customWidth="1"/>
    <col min="4" max="4" width="5.63333333333333" style="1" customWidth="1"/>
    <col min="5" max="5" width="12.3833333333333" style="4" customWidth="1"/>
    <col min="6" max="9" width="12.3833333333333" style="4" customWidth="1" outlineLevel="1"/>
    <col min="10" max="10" width="12.6333333333333" style="4" customWidth="1"/>
    <col min="11" max="11" width="15.1333333333333" style="5" customWidth="1"/>
    <col min="12" max="12" width="16.0666666666667" style="6" customWidth="1"/>
    <col min="13" max="16384" width="10" style="1"/>
  </cols>
  <sheetData>
    <row r="1" s="1" customFormat="1" ht="48" customHeight="1" spans="1:12">
      <c r="A1" s="7" t="s">
        <v>906</v>
      </c>
      <c r="B1" s="8"/>
      <c r="C1" s="9"/>
      <c r="D1" s="9"/>
      <c r="E1" s="10"/>
      <c r="F1" s="10"/>
      <c r="G1" s="10"/>
      <c r="H1" s="10"/>
      <c r="I1" s="10"/>
      <c r="J1" s="10"/>
      <c r="K1" s="11"/>
      <c r="L1" s="9"/>
    </row>
    <row r="2" s="2" customFormat="1" ht="24" customHeight="1" spans="1:12">
      <c r="A2" s="12" t="s">
        <v>17</v>
      </c>
      <c r="B2" s="12" t="s">
        <v>41</v>
      </c>
      <c r="C2" s="12" t="s">
        <v>42</v>
      </c>
      <c r="D2" s="12" t="s">
        <v>43</v>
      </c>
      <c r="E2" s="13" t="s">
        <v>44</v>
      </c>
      <c r="F2" s="14" t="s">
        <v>45</v>
      </c>
      <c r="G2" s="14" t="s">
        <v>46</v>
      </c>
      <c r="H2" s="14" t="s">
        <v>47</v>
      </c>
      <c r="I2" s="15" t="s">
        <v>48</v>
      </c>
      <c r="J2" s="14" t="s">
        <v>49</v>
      </c>
      <c r="K2" s="16" t="s">
        <v>50</v>
      </c>
      <c r="L2" s="12" t="s">
        <v>24</v>
      </c>
    </row>
    <row r="3" s="2" customFormat="1" ht="12" customHeight="1" spans="1:12">
      <c r="A3" s="17"/>
      <c r="B3" s="17"/>
      <c r="C3" s="17"/>
      <c r="D3" s="17"/>
      <c r="E3" s="18"/>
      <c r="F3" s="19"/>
      <c r="G3" s="19"/>
      <c r="H3" s="19"/>
      <c r="I3" s="15"/>
      <c r="J3" s="19"/>
      <c r="K3" s="20"/>
      <c r="L3" s="17"/>
    </row>
    <row r="4" s="2" customFormat="1" ht="24" customHeight="1" spans="1:12">
      <c r="A4" s="21" t="s">
        <v>53</v>
      </c>
      <c r="B4" s="21" t="s">
        <v>36</v>
      </c>
      <c r="C4" s="21"/>
      <c r="D4" s="21"/>
      <c r="E4" s="22"/>
      <c r="F4" s="22"/>
      <c r="G4" s="22"/>
      <c r="H4" s="22"/>
      <c r="I4" s="22"/>
      <c r="J4" s="22"/>
      <c r="K4" s="23">
        <f>SUM(K5:K6)</f>
        <v>0</v>
      </c>
      <c r="L4" s="21"/>
    </row>
    <row r="5" s="2" customFormat="1" ht="48" customHeight="1" spans="1:12">
      <c r="A5" s="24">
        <v>1</v>
      </c>
      <c r="B5" s="24" t="s">
        <v>907</v>
      </c>
      <c r="C5" s="25" t="s">
        <v>908</v>
      </c>
      <c r="D5" s="24" t="s">
        <v>58</v>
      </c>
      <c r="E5" s="26">
        <f>汇总表!C13</f>
        <v>3700.17</v>
      </c>
      <c r="F5" s="26"/>
      <c r="G5" s="26"/>
      <c r="H5" s="26"/>
      <c r="I5" s="27">
        <f>(F5+G5+H5)*$I$3</f>
        <v>0</v>
      </c>
      <c r="J5" s="28">
        <f>ROUND(SUM(F5:I5),2)</f>
        <v>0</v>
      </c>
      <c r="K5" s="29">
        <f>ROUND(J5*E5,2)</f>
        <v>0</v>
      </c>
      <c r="L5" s="24"/>
    </row>
    <row r="6" s="2" customFormat="1" ht="48" customHeight="1" spans="1:12">
      <c r="A6" s="24">
        <v>2</v>
      </c>
      <c r="B6" s="24" t="s">
        <v>909</v>
      </c>
      <c r="C6" s="25" t="s">
        <v>910</v>
      </c>
      <c r="D6" s="24" t="s">
        <v>58</v>
      </c>
      <c r="E6" s="26">
        <f>E5</f>
        <v>3700.17</v>
      </c>
      <c r="F6" s="26"/>
      <c r="G6" s="26"/>
      <c r="H6" s="26"/>
      <c r="I6" s="27">
        <f>(F6+G6+H6)*$I$3</f>
        <v>0</v>
      </c>
      <c r="J6" s="28">
        <f>ROUND(SUM(F6:I6),2)</f>
        <v>0</v>
      </c>
      <c r="K6" s="29">
        <f>ROUND(J6*E6,2)</f>
        <v>0</v>
      </c>
      <c r="L6" s="24"/>
    </row>
    <row r="7" s="2" customFormat="1" ht="24" customHeight="1" spans="1:12">
      <c r="A7" s="21" t="s">
        <v>114</v>
      </c>
      <c r="B7" s="21" t="s">
        <v>488</v>
      </c>
      <c r="C7" s="21"/>
      <c r="D7" s="21"/>
      <c r="E7" s="22"/>
      <c r="F7" s="22"/>
      <c r="G7" s="22"/>
      <c r="H7" s="22"/>
      <c r="I7" s="22"/>
      <c r="J7" s="22"/>
      <c r="K7" s="23">
        <f>SUM(K4:K6)/2</f>
        <v>0</v>
      </c>
      <c r="L7" s="21"/>
    </row>
  </sheetData>
  <mergeCells count="12">
    <mergeCell ref="A1:L1"/>
    <mergeCell ref="A2:A3"/>
    <mergeCell ref="B2:B3"/>
    <mergeCell ref="C2:C3"/>
    <mergeCell ref="D2:D3"/>
    <mergeCell ref="E2:E3"/>
    <mergeCell ref="F2:F3"/>
    <mergeCell ref="G2:G3"/>
    <mergeCell ref="H2:H3"/>
    <mergeCell ref="J2:J3"/>
    <mergeCell ref="K2:K3"/>
    <mergeCell ref="L2:L3"/>
  </mergeCells>
  <conditionalFormatting sqref="B7">
    <cfRule type="duplicateValues" dxfId="0" priority="1"/>
  </conditionalFormatting>
  <conditionalFormatting sqref="B2 B4:B6">
    <cfRule type="duplicateValues" dxfId="0" priority="91"/>
  </conditionalFormatting>
  <printOptions horizontalCentered="1"/>
  <pageMargins left="0.472222222222222" right="0.472222222222222" top="0.590277777777778" bottom="0.590277777777778" header="0.393055555555556" footer="0.393055555555556"/>
  <pageSetup paperSize="9" scale="73" fitToHeight="0" orientation="landscape" blackAndWhite="1" horizontalDpi="600"/>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编制说明</vt:lpstr>
      <vt:lpstr>汇总表</vt:lpstr>
      <vt:lpstr>地上装修工程</vt:lpstr>
      <vt:lpstr>电梯轿厢装修工程</vt:lpstr>
      <vt:lpstr>地下室装修工程</vt:lpstr>
      <vt:lpstr>会所安装工程量清单</vt:lpstr>
      <vt:lpstr>措施费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司徒亮</dc:creator>
  <cp:lastModifiedBy>叶渭淋</cp:lastModifiedBy>
  <dcterms:created xsi:type="dcterms:W3CDTF">2023-05-19T18:28:00Z</dcterms:created>
  <dcterms:modified xsi:type="dcterms:W3CDTF">2026-07-01T01:57:16Z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1805F9AEB2A843378C15BD0E62BEB365_13</vt:lpwstr>
  </property>
  <property fmtid="{D5CDD505-2E9C-101B-9397-08002B2CF9AE}" pid="3" name="KSOProductBuildVer">
    <vt:lpwstr>2052-12.1.0.26895</vt:lpwstr>
  </property>
  <property fmtid="{D5CDD505-2E9C-101B-9397-08002B2CF9AE}" pid="4" name="KSOReadingLayout">
    <vt:bool>false</vt:bool>
  </property>
  <property fmtid="{D5CDD505-2E9C-101B-9397-08002B2CF9AE}" pid="5" name="CalculationRule">
    <vt:i4>0</vt:i4>
  </property>
</Properties>
</file>