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850" firstSheet="1" activeTab="5"/>
  </bookViews>
  <sheets>
    <sheet name="编制说明" sheetId="1" r:id="rId1"/>
    <sheet name="汇总表" sheetId="2" r:id="rId2"/>
    <sheet name="地上装修工程" sheetId="3" r:id="rId3"/>
    <sheet name="电梯轿厢装修工程" sheetId="4" r:id="rId4"/>
    <sheet name="地下室装修工程" sheetId="5" r:id="rId5"/>
    <sheet name="会所安装工程量清单" sheetId="6" r:id="rId6"/>
    <sheet name="措施费" sheetId="7" r:id="rId7"/>
  </sheets>
  <externalReferences>
    <externalReference r:id="rId8"/>
  </externalReferences>
  <definedNames>
    <definedName name="_xlnm._FilterDatabase" localSheetId="2" hidden="1">地上装修工程!$A$2:$Y$1038</definedName>
    <definedName name="_xlnm._FilterDatabase" localSheetId="3" hidden="1">电梯轿厢装修工程!$A$2:$AI$44</definedName>
    <definedName name="_xlnm._FilterDatabase" localSheetId="4" hidden="1">地下室装修工程!$A$2:$V$302</definedName>
    <definedName name="_xlnm._FilterDatabase" localSheetId="5" hidden="1">会所安装工程量清单!$A$2:$AB$226</definedName>
    <definedName name="___________________N81020">[1]地梁!#REF!</definedName>
    <definedName name="dw">#REF!</definedName>
    <definedName name="A">EVALUATE(SUBSTITUTE(SUBSTITUTE(#REF!,"[","*ISTEXT(""["),"]","]"")"))</definedName>
    <definedName name="_xlnm.Print_Area" localSheetId="0">编制说明!$A$1:$A$20</definedName>
    <definedName name="_xlnm.Print_Area" localSheetId="1">汇总表!$A$1:$H$17</definedName>
    <definedName name="_____ngk1109" localSheetId="2" hidden="1">{#N/A,#N/A,FALSE,"估價單  (3)"}</definedName>
    <definedName name="___ngk1109" localSheetId="2" hidden="1">{#N/A,#N/A,FALSE,"估價單  (3)"}</definedName>
    <definedName name="_xlnm.Print_Titles" localSheetId="2">地上装修工程!$1:$3</definedName>
    <definedName name="dw" localSheetId="3">#REF!</definedName>
    <definedName name="_____ngk1109" localSheetId="3" hidden="1">{#N/A,#N/A,FALSE,"估價單  (3)"}</definedName>
    <definedName name="___ngk1109" localSheetId="3" hidden="1">{#N/A,#N/A,FALSE,"估價單  (3)"}</definedName>
    <definedName name="_xlnm.Print_Titles" localSheetId="3">电梯轿厢装修工程!$1:$3</definedName>
    <definedName name="_xlnm.Print_Area" localSheetId="3">电梯轿厢装修工程!$A$1:$L$44</definedName>
    <definedName name="dw" localSheetId="4">#REF!</definedName>
    <definedName name="_____ngk1109" localSheetId="4" hidden="1">{#N/A,#N/A,FALSE,"估價單  (3)"}</definedName>
    <definedName name="___ngk1109" localSheetId="4" hidden="1">{#N/A,#N/A,FALSE,"估價單  (3)"}</definedName>
    <definedName name="_xlnm.Print_Titles" localSheetId="4">地下室装修工程!$1:$3</definedName>
    <definedName name="_xlnm.Print_Area" localSheetId="4">地下室装修工程!$A$1:$L$302</definedName>
    <definedName name="A" localSheetId="5">EVALUATE(SUBSTITUTE(SUBSTITUTE(#REF!,"[","*ISTEXT(""["),"]","]"")"))</definedName>
    <definedName name="_xlnm.Print_Titles" localSheetId="5">会所安装工程量清单!$1:$3</definedName>
    <definedName name="_xlnm.Print_Area" localSheetId="5">会所安装工程量清单!$A$1:$L$223</definedName>
    <definedName name="_____ngk1109" localSheetId="6" hidden="1">{#N/A,#N/A,FALSE,"估價單  (3)"}</definedName>
    <definedName name="___ngk1109" localSheetId="6" hidden="1">{#N/A,#N/A,FALSE,"估價單  (3)"}</definedName>
    <definedName name="_xlnm.Print_Titles" localSheetId="6">措施费!$1:$2</definedName>
    <definedName name="_xlnm.Print_Area" localSheetId="6">措施费!$A$1:$L$7</definedName>
    <definedName name="_xlnm.Print_Area" localSheetId="2">地上装修工程!$A$1:$L$1038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62" name="ID_7F15BB9A08234B43B10CC616E0663C90"/>
        <xdr:cNvPicPr>
          <a:picLocks noChangeAspect="1"/>
        </xdr:cNvPicPr>
      </xdr:nvPicPr>
      <xdr:blipFill>
        <a:blip r:embed="rId1"/>
        <a:stretch>
          <a:fillRect/>
        </a:stretch>
      </xdr:blipFill>
      <xdr:spPr>
        <a:xfrm>
          <a:off x="15281275" y="32032575"/>
          <a:ext cx="5876925" cy="5876925"/>
        </a:xfrm>
        <a:prstGeom prst="rect">
          <a:avLst/>
        </a:prstGeom>
        <a:noFill/>
        <a:ln w="9525">
          <a:noFill/>
        </a:ln>
      </xdr:spPr>
    </xdr:pic>
  </etc:cellImage>
  <etc:cellImage>
    <xdr:pic>
      <xdr:nvPicPr>
        <xdr:cNvPr id="68" name="ID_52E6D4475B5A423CA29DFA7417D3B958"/>
        <xdr:cNvPicPr>
          <a:picLocks noChangeAspect="1"/>
        </xdr:cNvPicPr>
      </xdr:nvPicPr>
      <xdr:blipFill>
        <a:blip r:embed="rId2"/>
        <a:stretch>
          <a:fillRect/>
        </a:stretch>
      </xdr:blipFill>
      <xdr:spPr>
        <a:xfrm>
          <a:off x="15138400" y="47863125"/>
          <a:ext cx="8058150" cy="4352925"/>
        </a:xfrm>
        <a:prstGeom prst="rect">
          <a:avLst/>
        </a:prstGeom>
        <a:noFill/>
        <a:ln w="9525">
          <a:noFill/>
        </a:ln>
      </xdr:spPr>
    </xdr:pic>
  </etc:cellImage>
  <etc:cellImage>
    <xdr:pic>
      <xdr:nvPicPr>
        <xdr:cNvPr id="47" name="ID_27697568629A418B8C94BA218061C315"/>
        <xdr:cNvPicPr>
          <a:picLocks noChangeAspect="1"/>
        </xdr:cNvPicPr>
      </xdr:nvPicPr>
      <xdr:blipFill>
        <a:blip r:embed="rId3"/>
        <a:stretch>
          <a:fillRect/>
        </a:stretch>
      </xdr:blipFill>
      <xdr:spPr>
        <a:xfrm>
          <a:off x="15195550" y="123704350"/>
          <a:ext cx="6400800" cy="5219700"/>
        </a:xfrm>
        <a:prstGeom prst="rect">
          <a:avLst/>
        </a:prstGeom>
        <a:noFill/>
        <a:ln w="9525">
          <a:noFill/>
        </a:ln>
      </xdr:spPr>
    </xdr:pic>
  </etc:cellImage>
  <etc:cellImage>
    <xdr:pic>
      <xdr:nvPicPr>
        <xdr:cNvPr id="67" name="ID_08529AA2B4754D7788EF3058DD12C0B7"/>
        <xdr:cNvPicPr>
          <a:picLocks noChangeAspect="1"/>
        </xdr:cNvPicPr>
      </xdr:nvPicPr>
      <xdr:blipFill>
        <a:blip r:embed="rId4"/>
        <a:stretch>
          <a:fillRect/>
        </a:stretch>
      </xdr:blipFill>
      <xdr:spPr>
        <a:xfrm>
          <a:off x="15166975" y="89049225"/>
          <a:ext cx="5876925" cy="3552825"/>
        </a:xfrm>
        <a:prstGeom prst="rect">
          <a:avLst/>
        </a:prstGeom>
        <a:noFill/>
        <a:ln w="9525">
          <a:noFill/>
        </a:ln>
      </xdr:spPr>
    </xdr:pic>
  </etc:cellImage>
  <etc:cellImage>
    <xdr:pic>
      <xdr:nvPicPr>
        <xdr:cNvPr id="61" name="ID_EC83A7CF2DCE420D98B785E34F0891B0"/>
        <xdr:cNvPicPr>
          <a:picLocks noChangeAspect="1"/>
        </xdr:cNvPicPr>
      </xdr:nvPicPr>
      <xdr:blipFill>
        <a:blip r:embed="rId5"/>
        <a:stretch>
          <a:fillRect/>
        </a:stretch>
      </xdr:blipFill>
      <xdr:spPr>
        <a:xfrm>
          <a:off x="15347950" y="33480375"/>
          <a:ext cx="7858125" cy="5324475"/>
        </a:xfrm>
        <a:prstGeom prst="rect">
          <a:avLst/>
        </a:prstGeom>
        <a:noFill/>
        <a:ln w="9525">
          <a:noFill/>
        </a:ln>
      </xdr:spPr>
    </xdr:pic>
  </etc:cellImage>
  <etc:cellImage>
    <xdr:pic>
      <xdr:nvPicPr>
        <xdr:cNvPr id="52" name="ID_3637BC63980E47D5800ED572B8F2992E"/>
        <xdr:cNvPicPr>
          <a:picLocks noChangeAspect="1"/>
        </xdr:cNvPicPr>
      </xdr:nvPicPr>
      <xdr:blipFill>
        <a:blip r:embed="rId6"/>
        <a:stretch>
          <a:fillRect/>
        </a:stretch>
      </xdr:blipFill>
      <xdr:spPr>
        <a:xfrm>
          <a:off x="15300325" y="168195625"/>
          <a:ext cx="6372225" cy="6448425"/>
        </a:xfrm>
        <a:prstGeom prst="rect">
          <a:avLst/>
        </a:prstGeom>
        <a:noFill/>
        <a:ln w="9525">
          <a:noFill/>
        </a:ln>
      </xdr:spPr>
    </xdr:pic>
  </etc:cellImage>
  <etc:cellImage>
    <xdr:pic>
      <xdr:nvPicPr>
        <xdr:cNvPr id="63" name="ID_D13A3B112CB340D4857ADF47F3345CFD"/>
        <xdr:cNvPicPr>
          <a:picLocks noChangeAspect="1"/>
        </xdr:cNvPicPr>
      </xdr:nvPicPr>
      <xdr:blipFill>
        <a:blip r:embed="rId7"/>
        <a:stretch>
          <a:fillRect/>
        </a:stretch>
      </xdr:blipFill>
      <xdr:spPr>
        <a:xfrm>
          <a:off x="15338425" y="46215300"/>
          <a:ext cx="5600700" cy="4010025"/>
        </a:xfrm>
        <a:prstGeom prst="rect">
          <a:avLst/>
        </a:prstGeom>
        <a:noFill/>
        <a:ln w="9525">
          <a:noFill/>
        </a:ln>
      </xdr:spPr>
    </xdr:pic>
  </etc:cellImage>
  <etc:cellImage>
    <xdr:pic>
      <xdr:nvPicPr>
        <xdr:cNvPr id="65" name="ID_6F7EB677A5094C20B2B71D2F1EE10752"/>
        <xdr:cNvPicPr>
          <a:picLocks noChangeAspect="1"/>
        </xdr:cNvPicPr>
      </xdr:nvPicPr>
      <xdr:blipFill>
        <a:blip r:embed="rId8"/>
        <a:stretch>
          <a:fillRect/>
        </a:stretch>
      </xdr:blipFill>
      <xdr:spPr>
        <a:xfrm>
          <a:off x="15367000" y="67979925"/>
          <a:ext cx="4029075" cy="3028950"/>
        </a:xfrm>
        <a:prstGeom prst="rect">
          <a:avLst/>
        </a:prstGeom>
        <a:noFill/>
        <a:ln w="9525">
          <a:noFill/>
        </a:ln>
      </xdr:spPr>
    </xdr:pic>
  </etc:cellImage>
  <etc:cellImage>
    <xdr:pic>
      <xdr:nvPicPr>
        <xdr:cNvPr id="64" name="ID_248119BFBC6C45409BF72E1F8700A056"/>
        <xdr:cNvPicPr>
          <a:picLocks noChangeAspect="1"/>
        </xdr:cNvPicPr>
      </xdr:nvPicPr>
      <xdr:blipFill>
        <a:blip r:embed="rId9"/>
        <a:stretch>
          <a:fillRect/>
        </a:stretch>
      </xdr:blipFill>
      <xdr:spPr>
        <a:xfrm>
          <a:off x="15347950" y="56483250"/>
          <a:ext cx="7486650" cy="4476750"/>
        </a:xfrm>
        <a:prstGeom prst="rect">
          <a:avLst/>
        </a:prstGeom>
        <a:noFill/>
        <a:ln w="9525">
          <a:noFill/>
        </a:ln>
      </xdr:spPr>
    </xdr:pic>
  </etc:cellImage>
  <etc:cellImage>
    <xdr:pic>
      <xdr:nvPicPr>
        <xdr:cNvPr id="66" name="ID_E3C0506697614A36BC3BDD42540CE5D7"/>
        <xdr:cNvPicPr>
          <a:picLocks noChangeAspect="1"/>
        </xdr:cNvPicPr>
      </xdr:nvPicPr>
      <xdr:blipFill>
        <a:blip r:embed="rId10"/>
        <a:stretch>
          <a:fillRect/>
        </a:stretch>
      </xdr:blipFill>
      <xdr:spPr>
        <a:xfrm>
          <a:off x="15347950" y="77000100"/>
          <a:ext cx="8915400" cy="3905250"/>
        </a:xfrm>
        <a:prstGeom prst="rect">
          <a:avLst/>
        </a:prstGeom>
        <a:noFill/>
        <a:ln w="9525">
          <a:noFill/>
        </a:ln>
      </xdr:spPr>
    </xdr:pic>
  </etc:cellImage>
  <etc:cellImage>
    <xdr:pic>
      <xdr:nvPicPr>
        <xdr:cNvPr id="45" name="ID_2C8641C191E24476BECB7EF61417BE62"/>
        <xdr:cNvPicPr>
          <a:picLocks noChangeAspect="1"/>
        </xdr:cNvPicPr>
      </xdr:nvPicPr>
      <xdr:blipFill>
        <a:blip r:embed="rId11"/>
        <a:stretch>
          <a:fillRect/>
        </a:stretch>
      </xdr:blipFill>
      <xdr:spPr>
        <a:xfrm>
          <a:off x="15176500" y="109778800"/>
          <a:ext cx="5162550" cy="5305425"/>
        </a:xfrm>
        <a:prstGeom prst="rect">
          <a:avLst/>
        </a:prstGeom>
        <a:noFill/>
        <a:ln w="9525">
          <a:noFill/>
        </a:ln>
      </xdr:spPr>
    </xdr:pic>
  </etc:cellImage>
  <etc:cellImage>
    <xdr:pic>
      <xdr:nvPicPr>
        <xdr:cNvPr id="70" name="ID_079CB18207A847FE99C003FD3B44EEAD"/>
        <xdr:cNvPicPr>
          <a:picLocks noChangeAspect="1"/>
        </xdr:cNvPicPr>
      </xdr:nvPicPr>
      <xdr:blipFill>
        <a:blip r:embed="rId12"/>
        <a:stretch>
          <a:fillRect/>
        </a:stretch>
      </xdr:blipFill>
      <xdr:spPr>
        <a:xfrm>
          <a:off x="15128875" y="56597550"/>
          <a:ext cx="5657850" cy="4219575"/>
        </a:xfrm>
        <a:prstGeom prst="rect">
          <a:avLst/>
        </a:prstGeom>
        <a:noFill/>
        <a:ln w="9525">
          <a:noFill/>
        </a:ln>
      </xdr:spPr>
    </xdr:pic>
  </etc:cellImage>
  <etc:cellImage>
    <xdr:pic>
      <xdr:nvPicPr>
        <xdr:cNvPr id="71" name="ID_3EDF700A401B40FA9BCCF945FE0F78E7"/>
        <xdr:cNvPicPr>
          <a:picLocks noChangeAspect="1"/>
        </xdr:cNvPicPr>
      </xdr:nvPicPr>
      <xdr:blipFill>
        <a:blip r:embed="rId13"/>
        <a:stretch>
          <a:fillRect/>
        </a:stretch>
      </xdr:blipFill>
      <xdr:spPr>
        <a:xfrm>
          <a:off x="15338425" y="67856100"/>
          <a:ext cx="5886450" cy="4248150"/>
        </a:xfrm>
        <a:prstGeom prst="rect">
          <a:avLst/>
        </a:prstGeom>
        <a:noFill/>
        <a:ln w="9525">
          <a:noFill/>
        </a:ln>
      </xdr:spPr>
    </xdr:pic>
  </etc:cellImage>
  <etc:cellImage>
    <xdr:pic>
      <xdr:nvPicPr>
        <xdr:cNvPr id="72" name="ID_3A7A0C2DE56844B4974F8A1A9668BB74"/>
        <xdr:cNvPicPr>
          <a:picLocks noChangeAspect="1"/>
        </xdr:cNvPicPr>
      </xdr:nvPicPr>
      <xdr:blipFill>
        <a:blip r:embed="rId14"/>
        <a:stretch>
          <a:fillRect/>
        </a:stretch>
      </xdr:blipFill>
      <xdr:spPr>
        <a:xfrm>
          <a:off x="15243175" y="78800325"/>
          <a:ext cx="8658225" cy="6353175"/>
        </a:xfrm>
        <a:prstGeom prst="rect">
          <a:avLst/>
        </a:prstGeom>
        <a:noFill/>
        <a:ln w="9525">
          <a:noFill/>
        </a:ln>
      </xdr:spPr>
    </xdr:pic>
  </etc:cellImage>
  <etc:cellImage>
    <xdr:pic>
      <xdr:nvPicPr>
        <xdr:cNvPr id="73" name="ID_04C7688EC066428C80D92424805BDF58"/>
        <xdr:cNvPicPr>
          <a:picLocks noChangeAspect="1"/>
        </xdr:cNvPicPr>
      </xdr:nvPicPr>
      <xdr:blipFill>
        <a:blip r:embed="rId15"/>
        <a:stretch>
          <a:fillRect/>
        </a:stretch>
      </xdr:blipFill>
      <xdr:spPr>
        <a:xfrm>
          <a:off x="15319375" y="88582500"/>
          <a:ext cx="6381750" cy="4191000"/>
        </a:xfrm>
        <a:prstGeom prst="rect">
          <a:avLst/>
        </a:prstGeom>
        <a:noFill/>
        <a:ln w="9525">
          <a:noFill/>
        </a:ln>
      </xdr:spPr>
    </xdr:pic>
  </etc:cellImage>
  <etc:cellImage>
    <xdr:pic>
      <xdr:nvPicPr>
        <xdr:cNvPr id="74" name="ID_F477314AC07043CF9B2F8F752891D249"/>
        <xdr:cNvPicPr>
          <a:picLocks noChangeAspect="1"/>
        </xdr:cNvPicPr>
      </xdr:nvPicPr>
      <xdr:blipFill>
        <a:blip r:embed="rId16"/>
        <a:stretch>
          <a:fillRect/>
        </a:stretch>
      </xdr:blipFill>
      <xdr:spPr>
        <a:xfrm>
          <a:off x="15405100" y="98612325"/>
          <a:ext cx="4781550" cy="6524625"/>
        </a:xfrm>
        <a:prstGeom prst="rect">
          <a:avLst/>
        </a:prstGeom>
        <a:noFill/>
        <a:ln w="9525">
          <a:noFill/>
        </a:ln>
      </xdr:spPr>
    </xdr:pic>
  </etc:cellImage>
  <etc:cellImage>
    <xdr:pic>
      <xdr:nvPicPr>
        <xdr:cNvPr id="15" name="ID_3E5BE532377F40AEBC68B3C07112AFDB"/>
        <xdr:cNvPicPr>
          <a:picLocks noChangeAspect="1"/>
        </xdr:cNvPicPr>
      </xdr:nvPicPr>
      <xdr:blipFill>
        <a:blip r:embed="rId17"/>
        <a:stretch>
          <a:fillRect/>
        </a:stretch>
      </xdr:blipFill>
      <xdr:spPr>
        <a:xfrm>
          <a:off x="15448280" y="18646775"/>
          <a:ext cx="6791325" cy="5314950"/>
        </a:xfrm>
        <a:prstGeom prst="rect">
          <a:avLst/>
        </a:prstGeom>
        <a:noFill/>
        <a:ln w="9525">
          <a:noFill/>
        </a:ln>
      </xdr:spPr>
    </xdr:pic>
  </etc:cellImage>
  <etc:cellImage>
    <xdr:pic>
      <xdr:nvPicPr>
        <xdr:cNvPr id="75" name="ID_DA8056B476E24060850BD63660BA0158"/>
        <xdr:cNvPicPr>
          <a:picLocks noChangeAspect="1"/>
        </xdr:cNvPicPr>
      </xdr:nvPicPr>
      <xdr:blipFill>
        <a:blip r:embed="rId18"/>
        <a:stretch>
          <a:fillRect/>
        </a:stretch>
      </xdr:blipFill>
      <xdr:spPr>
        <a:xfrm>
          <a:off x="15147925" y="109756575"/>
          <a:ext cx="5695950" cy="5353050"/>
        </a:xfrm>
        <a:prstGeom prst="rect">
          <a:avLst/>
        </a:prstGeom>
        <a:noFill/>
        <a:ln w="9525">
          <a:noFill/>
        </a:ln>
      </xdr:spPr>
    </xdr:pic>
  </etc:cellImage>
  <etc:cellImage>
    <xdr:pic>
      <xdr:nvPicPr>
        <xdr:cNvPr id="76" name="ID_E365E80EDA8E47118816E377B5229A08"/>
        <xdr:cNvPicPr>
          <a:picLocks noChangeAspect="1"/>
        </xdr:cNvPicPr>
      </xdr:nvPicPr>
      <xdr:blipFill>
        <a:blip r:embed="rId19"/>
        <a:stretch>
          <a:fillRect/>
        </a:stretch>
      </xdr:blipFill>
      <xdr:spPr>
        <a:xfrm>
          <a:off x="15262225" y="117843300"/>
          <a:ext cx="7296150" cy="4743450"/>
        </a:xfrm>
        <a:prstGeom prst="rect">
          <a:avLst/>
        </a:prstGeom>
        <a:noFill/>
        <a:ln w="9525">
          <a:noFill/>
        </a:ln>
      </xdr:spPr>
    </xdr:pic>
  </etc:cellImage>
  <etc:cellImage>
    <xdr:pic>
      <xdr:nvPicPr>
        <xdr:cNvPr id="78" name="ID_2E98F7372404413096138FD16E0C8F7D"/>
        <xdr:cNvPicPr>
          <a:picLocks noChangeAspect="1"/>
        </xdr:cNvPicPr>
      </xdr:nvPicPr>
      <xdr:blipFill>
        <a:blip r:embed="rId20"/>
        <a:stretch>
          <a:fillRect/>
        </a:stretch>
      </xdr:blipFill>
      <xdr:spPr>
        <a:xfrm>
          <a:off x="15138400" y="63179325"/>
          <a:ext cx="6124575" cy="6115050"/>
        </a:xfrm>
        <a:prstGeom prst="rect">
          <a:avLst/>
        </a:prstGeom>
        <a:noFill/>
        <a:ln w="9525">
          <a:noFill/>
        </a:ln>
      </xdr:spPr>
    </xdr:pic>
  </etc:cellImage>
  <etc:cellImage>
    <xdr:pic>
      <xdr:nvPicPr>
        <xdr:cNvPr id="77" name="ID_6C951BC485714CB8855255795B662D86"/>
        <xdr:cNvPicPr>
          <a:picLocks noChangeAspect="1"/>
        </xdr:cNvPicPr>
      </xdr:nvPicPr>
      <xdr:blipFill>
        <a:blip r:embed="rId21"/>
        <a:stretch>
          <a:fillRect/>
        </a:stretch>
      </xdr:blipFill>
      <xdr:spPr>
        <a:xfrm>
          <a:off x="15443200" y="74228325"/>
          <a:ext cx="8715375" cy="7258050"/>
        </a:xfrm>
        <a:prstGeom prst="rect">
          <a:avLst/>
        </a:prstGeom>
        <a:noFill/>
        <a:ln w="9525">
          <a:noFill/>
        </a:ln>
      </xdr:spPr>
    </xdr:pic>
  </etc:cellImage>
  <etc:cellImage>
    <xdr:pic>
      <xdr:nvPicPr>
        <xdr:cNvPr id="79" name="ID_DBFEAA07FA77407EA27001577B1036D1"/>
        <xdr:cNvPicPr>
          <a:picLocks noChangeAspect="1"/>
        </xdr:cNvPicPr>
      </xdr:nvPicPr>
      <xdr:blipFill>
        <a:blip r:embed="rId22"/>
        <a:stretch>
          <a:fillRect/>
        </a:stretch>
      </xdr:blipFill>
      <xdr:spPr>
        <a:xfrm>
          <a:off x="15414625" y="85267800"/>
          <a:ext cx="7315200" cy="5648325"/>
        </a:xfrm>
        <a:prstGeom prst="rect">
          <a:avLst/>
        </a:prstGeom>
        <a:noFill/>
        <a:ln w="9525">
          <a:noFill/>
        </a:ln>
      </xdr:spPr>
    </xdr:pic>
  </etc:cellImage>
  <etc:cellImage>
    <xdr:pic>
      <xdr:nvPicPr>
        <xdr:cNvPr id="59" name="ID_BF1EDA8852A541B6AC34D90F51519C63"/>
        <xdr:cNvPicPr>
          <a:picLocks noChangeAspect="1"/>
        </xdr:cNvPicPr>
      </xdr:nvPicPr>
      <xdr:blipFill>
        <a:blip r:embed="rId23"/>
        <a:stretch>
          <a:fillRect/>
        </a:stretch>
      </xdr:blipFill>
      <xdr:spPr>
        <a:xfrm>
          <a:off x="15219680" y="35623500"/>
          <a:ext cx="8353425" cy="6096000"/>
        </a:xfrm>
        <a:prstGeom prst="rect">
          <a:avLst/>
        </a:prstGeom>
        <a:noFill/>
        <a:ln w="9525">
          <a:noFill/>
        </a:ln>
      </xdr:spPr>
    </xdr:pic>
  </etc:cellImage>
  <etc:cellImage>
    <xdr:pic>
      <xdr:nvPicPr>
        <xdr:cNvPr id="80" name="ID_24328C5063D944AFA020B812A59D7790"/>
        <xdr:cNvPicPr>
          <a:picLocks noChangeAspect="1"/>
        </xdr:cNvPicPr>
      </xdr:nvPicPr>
      <xdr:blipFill>
        <a:blip r:embed="rId24"/>
        <a:stretch>
          <a:fillRect/>
        </a:stretch>
      </xdr:blipFill>
      <xdr:spPr>
        <a:xfrm>
          <a:off x="15267305" y="96154875"/>
          <a:ext cx="6772275" cy="6457950"/>
        </a:xfrm>
        <a:prstGeom prst="rect">
          <a:avLst/>
        </a:prstGeom>
        <a:noFill/>
        <a:ln w="9525">
          <a:noFill/>
        </a:ln>
      </xdr:spPr>
    </xdr:pic>
  </etc:cellImage>
  <etc:cellImage>
    <xdr:pic>
      <xdr:nvPicPr>
        <xdr:cNvPr id="28" name="ID_794EEF17F06A4AF783B086FE9CB1E3D4"/>
        <xdr:cNvPicPr>
          <a:picLocks noChangeAspect="1"/>
        </xdr:cNvPicPr>
      </xdr:nvPicPr>
      <xdr:blipFill>
        <a:blip r:embed="rId25"/>
        <a:stretch>
          <a:fillRect/>
        </a:stretch>
      </xdr:blipFill>
      <xdr:spPr>
        <a:xfrm>
          <a:off x="15395575" y="1543050"/>
          <a:ext cx="5800725" cy="5324475"/>
        </a:xfrm>
        <a:prstGeom prst="rect">
          <a:avLst/>
        </a:prstGeom>
        <a:noFill/>
        <a:ln w="9525">
          <a:noFill/>
        </a:ln>
      </xdr:spPr>
    </xdr:pic>
  </etc:cellImage>
  <etc:cellImage>
    <xdr:pic>
      <xdr:nvPicPr>
        <xdr:cNvPr id="14" name="ID_8A814E5DB4FF4E14942A30434ADDD1AE"/>
        <xdr:cNvPicPr>
          <a:picLocks noChangeAspect="1"/>
        </xdr:cNvPicPr>
      </xdr:nvPicPr>
      <xdr:blipFill>
        <a:blip r:embed="rId26"/>
        <a:stretch>
          <a:fillRect/>
        </a:stretch>
      </xdr:blipFill>
      <xdr:spPr>
        <a:xfrm>
          <a:off x="15395575" y="33493075"/>
          <a:ext cx="7258050" cy="5486400"/>
        </a:xfrm>
        <a:prstGeom prst="rect">
          <a:avLst/>
        </a:prstGeom>
        <a:noFill/>
        <a:ln w="9525">
          <a:noFill/>
        </a:ln>
      </xdr:spPr>
    </xdr:pic>
  </etc:cellImage>
  <etc:cellImage>
    <xdr:pic>
      <xdr:nvPicPr>
        <xdr:cNvPr id="38" name="ID_B536854564CA4B8197B26E4B6442191E"/>
        <xdr:cNvPicPr>
          <a:picLocks noChangeAspect="1"/>
        </xdr:cNvPicPr>
      </xdr:nvPicPr>
      <xdr:blipFill>
        <a:blip r:embed="rId27"/>
        <a:stretch>
          <a:fillRect/>
        </a:stretch>
      </xdr:blipFill>
      <xdr:spPr>
        <a:xfrm>
          <a:off x="15119350" y="40017700"/>
          <a:ext cx="6238875" cy="4933950"/>
        </a:xfrm>
        <a:prstGeom prst="rect">
          <a:avLst/>
        </a:prstGeom>
        <a:noFill/>
        <a:ln w="9525">
          <a:noFill/>
        </a:ln>
      </xdr:spPr>
    </xdr:pic>
  </etc:cellImage>
  <etc:cellImage>
    <xdr:pic>
      <xdr:nvPicPr>
        <xdr:cNvPr id="55" name="ID_D24ED736F8CA423690822537BB5D3C3E"/>
        <xdr:cNvPicPr>
          <a:picLocks noChangeAspect="1"/>
        </xdr:cNvPicPr>
      </xdr:nvPicPr>
      <xdr:blipFill>
        <a:blip r:embed="rId28"/>
        <a:stretch>
          <a:fillRect/>
        </a:stretch>
      </xdr:blipFill>
      <xdr:spPr>
        <a:xfrm>
          <a:off x="15290800" y="8782050"/>
          <a:ext cx="7658100" cy="5019675"/>
        </a:xfrm>
        <a:prstGeom prst="rect">
          <a:avLst/>
        </a:prstGeom>
        <a:noFill/>
        <a:ln w="9525">
          <a:noFill/>
        </a:ln>
      </xdr:spPr>
    </xdr:pic>
  </etc:cellImage>
  <etc:cellImage>
    <xdr:pic>
      <xdr:nvPicPr>
        <xdr:cNvPr id="43" name="ID_EAC5E79C165D415B932AFE73B780235F"/>
        <xdr:cNvPicPr>
          <a:picLocks noChangeAspect="1"/>
        </xdr:cNvPicPr>
      </xdr:nvPicPr>
      <xdr:blipFill>
        <a:blip r:embed="rId29"/>
        <a:stretch>
          <a:fillRect/>
        </a:stretch>
      </xdr:blipFill>
      <xdr:spPr>
        <a:xfrm>
          <a:off x="15128875" y="68030725"/>
          <a:ext cx="5019675" cy="2905125"/>
        </a:xfrm>
        <a:prstGeom prst="rect">
          <a:avLst/>
        </a:prstGeom>
        <a:noFill/>
        <a:ln w="9525">
          <a:noFill/>
        </a:ln>
      </xdr:spPr>
    </xdr:pic>
  </etc:cellImage>
  <etc:cellImage>
    <xdr:pic>
      <xdr:nvPicPr>
        <xdr:cNvPr id="46" name="ID_846B6C16BCAD432A8A323076B191DC34"/>
        <xdr:cNvPicPr>
          <a:picLocks noChangeAspect="1"/>
        </xdr:cNvPicPr>
      </xdr:nvPicPr>
      <xdr:blipFill>
        <a:blip r:embed="rId30"/>
        <a:stretch>
          <a:fillRect/>
        </a:stretch>
      </xdr:blipFill>
      <xdr:spPr>
        <a:xfrm>
          <a:off x="15205075" y="83851750"/>
          <a:ext cx="7858125" cy="3343275"/>
        </a:xfrm>
        <a:prstGeom prst="rect">
          <a:avLst/>
        </a:prstGeom>
        <a:noFill/>
        <a:ln w="9525">
          <a:noFill/>
        </a:ln>
      </xdr:spPr>
    </xdr:pic>
  </etc:cellImage>
  <etc:cellImage>
    <xdr:pic>
      <xdr:nvPicPr>
        <xdr:cNvPr id="44" name="ID_313A828CF1F54DA1B047DEC23CEA0284"/>
        <xdr:cNvPicPr>
          <a:picLocks noChangeAspect="1"/>
        </xdr:cNvPicPr>
      </xdr:nvPicPr>
      <xdr:blipFill>
        <a:blip r:embed="rId31"/>
        <a:stretch>
          <a:fillRect/>
        </a:stretch>
      </xdr:blipFill>
      <xdr:spPr>
        <a:xfrm>
          <a:off x="15205075" y="95357950"/>
          <a:ext cx="5276850" cy="7324725"/>
        </a:xfrm>
        <a:prstGeom prst="rect">
          <a:avLst/>
        </a:prstGeom>
        <a:noFill/>
        <a:ln w="9525">
          <a:noFill/>
        </a:ln>
      </xdr:spPr>
    </xdr:pic>
  </etc:cellImage>
  <etc:cellImage>
    <xdr:pic>
      <xdr:nvPicPr>
        <xdr:cNvPr id="48" name="ID_299CC4902CCF459F91D60AB2E50B5CB9"/>
        <xdr:cNvPicPr>
          <a:picLocks noChangeAspect="1"/>
        </xdr:cNvPicPr>
      </xdr:nvPicPr>
      <xdr:blipFill>
        <a:blip r:embed="rId32"/>
        <a:stretch>
          <a:fillRect/>
        </a:stretch>
      </xdr:blipFill>
      <xdr:spPr>
        <a:xfrm>
          <a:off x="15138400" y="136648825"/>
          <a:ext cx="8172450" cy="3962400"/>
        </a:xfrm>
        <a:prstGeom prst="rect">
          <a:avLst/>
        </a:prstGeom>
        <a:noFill/>
        <a:ln w="9525">
          <a:noFill/>
        </a:ln>
      </xdr:spPr>
    </xdr:pic>
  </etc:cellImage>
  <etc:cellImage>
    <xdr:pic>
      <xdr:nvPicPr>
        <xdr:cNvPr id="50" name="ID_589CA08F212B437D95718DE5C13512ED"/>
        <xdr:cNvPicPr>
          <a:picLocks noChangeAspect="1"/>
        </xdr:cNvPicPr>
      </xdr:nvPicPr>
      <xdr:blipFill>
        <a:blip r:embed="rId33"/>
        <a:stretch>
          <a:fillRect/>
        </a:stretch>
      </xdr:blipFill>
      <xdr:spPr>
        <a:xfrm>
          <a:off x="15290800" y="148126450"/>
          <a:ext cx="8886825" cy="4048125"/>
        </a:xfrm>
        <a:prstGeom prst="rect">
          <a:avLst/>
        </a:prstGeom>
        <a:noFill/>
        <a:ln w="9525">
          <a:noFill/>
        </a:ln>
      </xdr:spPr>
    </xdr:pic>
  </etc:cellImage>
  <etc:cellImage>
    <xdr:pic>
      <xdr:nvPicPr>
        <xdr:cNvPr id="51" name="ID_0E7C8EE907394257A9628C85485B294C"/>
        <xdr:cNvPicPr>
          <a:picLocks noChangeAspect="1"/>
        </xdr:cNvPicPr>
      </xdr:nvPicPr>
      <xdr:blipFill>
        <a:blip r:embed="rId34"/>
        <a:stretch>
          <a:fillRect/>
        </a:stretch>
      </xdr:blipFill>
      <xdr:spPr>
        <a:xfrm>
          <a:off x="15214600" y="160385125"/>
          <a:ext cx="8258175" cy="5010150"/>
        </a:xfrm>
        <a:prstGeom prst="rect">
          <a:avLst/>
        </a:prstGeom>
        <a:noFill/>
        <a:ln w="9525">
          <a:noFill/>
        </a:ln>
      </xdr:spPr>
    </xdr:pic>
  </etc:cellImage>
  <etc:cellImage>
    <xdr:pic>
      <xdr:nvPicPr>
        <xdr:cNvPr id="53" name="ID_15A5E089ABBE4E6A86F1BBE9869FFE1F"/>
        <xdr:cNvPicPr>
          <a:picLocks noChangeAspect="1"/>
        </xdr:cNvPicPr>
      </xdr:nvPicPr>
      <xdr:blipFill>
        <a:blip r:embed="rId35"/>
        <a:stretch>
          <a:fillRect/>
        </a:stretch>
      </xdr:blipFill>
      <xdr:spPr>
        <a:xfrm>
          <a:off x="15252700" y="184350025"/>
          <a:ext cx="7305675" cy="4791075"/>
        </a:xfrm>
        <a:prstGeom prst="rect">
          <a:avLst/>
        </a:prstGeom>
        <a:noFill/>
        <a:ln w="9525">
          <a:noFill/>
        </a:ln>
      </xdr:spPr>
    </xdr:pic>
  </etc:cellImage>
  <etc:cellImage>
    <xdr:pic>
      <xdr:nvPicPr>
        <xdr:cNvPr id="54" name="ID_C8C1FEB9063945808E06625CCF17E950"/>
        <xdr:cNvPicPr>
          <a:picLocks noChangeAspect="1"/>
        </xdr:cNvPicPr>
      </xdr:nvPicPr>
      <xdr:blipFill>
        <a:blip r:embed="rId36"/>
        <a:stretch>
          <a:fillRect/>
        </a:stretch>
      </xdr:blipFill>
      <xdr:spPr>
        <a:xfrm>
          <a:off x="15233650" y="197265925"/>
          <a:ext cx="7829550" cy="4895850"/>
        </a:xfrm>
        <a:prstGeom prst="rect">
          <a:avLst/>
        </a:prstGeom>
        <a:noFill/>
        <a:ln w="9525">
          <a:noFill/>
        </a:ln>
      </xdr:spPr>
    </xdr:pic>
  </etc:cellImage>
  <etc:cellImage>
    <xdr:pic>
      <xdr:nvPicPr>
        <xdr:cNvPr id="56" name="ID_26772D558EF748CABF8F4CA7FDFBC7AE"/>
        <xdr:cNvPicPr>
          <a:picLocks noChangeAspect="1"/>
        </xdr:cNvPicPr>
      </xdr:nvPicPr>
      <xdr:blipFill>
        <a:blip r:embed="rId37"/>
        <a:stretch>
          <a:fillRect/>
        </a:stretch>
      </xdr:blipFill>
      <xdr:spPr>
        <a:xfrm>
          <a:off x="15309850" y="40805100"/>
          <a:ext cx="8829675" cy="6267450"/>
        </a:xfrm>
        <a:prstGeom prst="rect">
          <a:avLst/>
        </a:prstGeom>
        <a:noFill/>
        <a:ln w="9525">
          <a:noFill/>
        </a:ln>
      </xdr:spPr>
    </xdr:pic>
  </etc:cellImage>
  <etc:cellImage>
    <xdr:pic>
      <xdr:nvPicPr>
        <xdr:cNvPr id="57" name="ID_F6DAD87C6F484C429ADAAC7CB59B11E6"/>
        <xdr:cNvPicPr>
          <a:picLocks noChangeAspect="1"/>
        </xdr:cNvPicPr>
      </xdr:nvPicPr>
      <xdr:blipFill>
        <a:blip r:embed="rId38"/>
        <a:stretch>
          <a:fillRect/>
        </a:stretch>
      </xdr:blipFill>
      <xdr:spPr>
        <a:xfrm>
          <a:off x="15243175" y="40566975"/>
          <a:ext cx="6772275" cy="3695700"/>
        </a:xfrm>
        <a:prstGeom prst="rect">
          <a:avLst/>
        </a:prstGeom>
        <a:noFill/>
        <a:ln w="9525">
          <a:noFill/>
        </a:ln>
      </xdr:spPr>
    </xdr:pic>
  </etc:cellImage>
  <etc:cellImage>
    <xdr:pic>
      <xdr:nvPicPr>
        <xdr:cNvPr id="58" name="ID_E5CD2B656A7B49C499EC220A07E6DA18"/>
        <xdr:cNvPicPr>
          <a:picLocks noChangeAspect="1"/>
        </xdr:cNvPicPr>
      </xdr:nvPicPr>
      <xdr:blipFill>
        <a:blip r:embed="rId39"/>
        <a:stretch>
          <a:fillRect/>
        </a:stretch>
      </xdr:blipFill>
      <xdr:spPr>
        <a:xfrm>
          <a:off x="15262225" y="32756475"/>
          <a:ext cx="7867650" cy="6391275"/>
        </a:xfrm>
        <a:prstGeom prst="rect">
          <a:avLst/>
        </a:prstGeom>
        <a:noFill/>
        <a:ln w="9525">
          <a:noFill/>
        </a:ln>
      </xdr:spPr>
    </xdr:pic>
  </etc:cellImage>
  <etc:cellImage>
    <xdr:pic>
      <xdr:nvPicPr>
        <xdr:cNvPr id="2" name="ID_021955E0AB6F46708C9CE52A16C77F8A"/>
        <xdr:cNvPicPr>
          <a:picLocks noChangeAspect="1"/>
        </xdr:cNvPicPr>
      </xdr:nvPicPr>
      <xdr:blipFill>
        <a:blip r:embed="rId40"/>
        <a:stretch>
          <a:fillRect/>
        </a:stretch>
      </xdr:blipFill>
      <xdr:spPr>
        <a:xfrm>
          <a:off x="14224635" y="644550400"/>
          <a:ext cx="6962775" cy="4943475"/>
        </a:xfrm>
        <a:prstGeom prst="rect">
          <a:avLst/>
        </a:prstGeom>
        <a:noFill/>
        <a:ln w="9525">
          <a:noFill/>
        </a:ln>
      </xdr:spPr>
    </xdr:pic>
  </etc:cellImage>
</etc:cellImages>
</file>

<file path=xl/sharedStrings.xml><?xml version="1.0" encoding="utf-8"?>
<sst xmlns="http://schemas.openxmlformats.org/spreadsheetml/2006/main" count="4396" uniqueCount="931">
  <si>
    <t>编制说明</t>
  </si>
  <si>
    <t>1、工程概况：</t>
  </si>
  <si>
    <t>1）、工程名称：珠海丹田海德公馆会所精装修工程</t>
  </si>
  <si>
    <t xml:space="preserve">2）、建设单位：丹田海德公馆 </t>
  </si>
  <si>
    <t>3）、工程内容：会所、公区装修及机电</t>
  </si>
  <si>
    <t>2、编制依据：</t>
  </si>
  <si>
    <t>1）、按建设单位提供的《珠海海德公馆会所项目施工图20260529》及《珠海丹田海德公馆会所施工手册》、《酒窖深化图》；</t>
  </si>
  <si>
    <t>3、编制范围：</t>
  </si>
  <si>
    <t>1）、海德公馆大堂、电梯厅、电梯轿厢、三楼会所、健身房等室内装修工程。 包括：大堂、电梯厅、电梯轿厢、会所、健身房地面、墙面、天花等；</t>
  </si>
  <si>
    <t>4、计价说明：</t>
  </si>
  <si>
    <t>1）、综合单价综合考虑人工费、各类材料费（含损耗）、机械费、项目措施费（地下暗室施工费、技术措施费、安全文明施工费、临时设施费）、成品保护费、运输装卸费、材料设备场内二次运输费[在合同总工期内施工过程中因各种因素导致需二次运输作业，搬运距离，自行勘察现场]、材料检测试验费、检测费、调试费、验收费、保险费（不包含甲方已购买保险）、规费、管理费、利润、国家强制性收费、风险责任、施工水电费、克服施工现场苛刻条件及难度费用等除监理费之外的全部费用除非另有约定，结算时该综合单价不调整、税金在汇总单独计算。</t>
  </si>
  <si>
    <t>5、其他说明</t>
  </si>
  <si>
    <t>1、根据图纸，本项目室内门考虑图纸标注门编号在本次范围内，其余门窗均考虑为原建筑门窗；</t>
  </si>
  <si>
    <t>2、根据图纸，本项目所有的暗门不含面层，在墙面清单中计算；</t>
  </si>
  <si>
    <t>3、根据图纸设计说明墙面瓷砖瓷砖大于400*800规格采用C2T等级增强型水泥基胶粘剂,由于项目中不同区域使用的瓷砖规格大小有不一,清单中统一描述为C1T等级增强型水泥基胶粘剂,最终根据项目中各区域使用的瓷砖规格选择相应规格胶粘剂；</t>
  </si>
  <si>
    <t>报价汇总表</t>
  </si>
  <si>
    <t>工程名称：珠海丹田海德公馆会所精装修工程</t>
  </si>
  <si>
    <t>序号</t>
  </si>
  <si>
    <t>名称</t>
  </si>
  <si>
    <t>单层装修面积（m2）</t>
  </si>
  <si>
    <t>层数</t>
  </si>
  <si>
    <t>单层造价（元）</t>
  </si>
  <si>
    <t>总造价（元）</t>
  </si>
  <si>
    <t>单方指标</t>
  </si>
  <si>
    <t>备注</t>
  </si>
  <si>
    <t>首层装修部分（北向）</t>
  </si>
  <si>
    <t>首层装修部分（南向）</t>
  </si>
  <si>
    <t>标准层装修部分(四~三十一层)</t>
  </si>
  <si>
    <t>会所装修部分（三层）</t>
  </si>
  <si>
    <t>健身房装修部分（三层）</t>
  </si>
  <si>
    <t>负一层装修部分</t>
  </si>
  <si>
    <t>负二层装修部分</t>
  </si>
  <si>
    <t>负三层装修部分</t>
  </si>
  <si>
    <t>电梯轿厢</t>
  </si>
  <si>
    <t>1个电梯轿厢+1个无障碍电梯轿厢</t>
  </si>
  <si>
    <t>安装工程</t>
  </si>
  <si>
    <t>措施费</t>
  </si>
  <si>
    <t>小计</t>
  </si>
  <si>
    <t>税金（9%）</t>
  </si>
  <si>
    <t>总计</t>
  </si>
  <si>
    <t>珠海海德公馆会所项目-工程量清单</t>
  </si>
  <si>
    <t>项目名称</t>
  </si>
  <si>
    <t>项目特征</t>
  </si>
  <si>
    <t>单位</t>
  </si>
  <si>
    <t>工程量</t>
  </si>
  <si>
    <t>人工</t>
  </si>
  <si>
    <t>主材</t>
  </si>
  <si>
    <t>辅材及机械费</t>
  </si>
  <si>
    <t>管理及利润取费</t>
  </si>
  <si>
    <t>综合单价
（不含税）</t>
  </si>
  <si>
    <t>合价
（不含税）</t>
  </si>
  <si>
    <t>检查</t>
  </si>
  <si>
    <t>成本单价</t>
  </si>
  <si>
    <t>损耗率</t>
  </si>
  <si>
    <t>辅材</t>
  </si>
  <si>
    <t>机械</t>
  </si>
  <si>
    <t>合价</t>
  </si>
  <si>
    <t>A</t>
  </si>
  <si>
    <t>一</t>
  </si>
  <si>
    <t>一层电梯厅、设备间（DT1）</t>
  </si>
  <si>
    <t>地面工程</t>
  </si>
  <si>
    <t>地面铺贴大理石ST-01</t>
  </si>
  <si>
    <t xml:space="preserve">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</si>
  <si>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m2</t>
  </si>
  <si>
    <t>地面铺贴大理石ST-01.02拼花</t>
  </si>
  <si>
    <t xml:space="preserve">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</si>
  <si>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地面地砖 CT-06</t>
  </si>
  <si>
    <t xml:space="preserve">1.地面花砖CT-06；
2.10mm厚专用粘结剂；
3.80mm厚DS-M15干混砂浆找平；
4.基层清理；
5.含切边、倒角、拼接等处理；
6.包含完成该项内容所有工作及费用并满足设计图纸、规范等要求；
</t>
  </si>
  <si>
    <t>实心铜条5mm宽</t>
  </si>
  <si>
    <t>1.实心铜条5mm宽；
2.包含完成该项内容所有工作及费用并满足设计图纸、规范等要求；</t>
  </si>
  <si>
    <t>m</t>
  </si>
  <si>
    <t>地面石材晶面处理</t>
  </si>
  <si>
    <t xml:space="preserve">1.石材结晶处理(结晶水及石材保养剂,中性清洁剂)；
2.包含完成该项内容所有工作及费用并满足设计图纸、规范等要求；
</t>
  </si>
  <si>
    <t>墙柱面工程</t>
  </si>
  <si>
    <t>墙面湿贴石材ST-05</t>
  </si>
  <si>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</si>
  <si>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墙面干挂ST-05石材</t>
  </si>
  <si>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</si>
  <si>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墙面干挂ST-05石材（波浪造型）</t>
  </si>
  <si>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</si>
  <si>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墙面PT-02白色防水无机涂料</t>
  </si>
  <si>
    <t>1、墙面PT-02白色防水无机涂料(底漆1遍，面漆2遍)
2、刮白胶腻子找平二遍，打磨
3、阴、阳角护角收边
4、双层9.5mm纸面石膏板
5、轻钢龙骨基层找平
6、包含完成该项内容所有工作及费用并满足设计图纸、规范等要求</t>
  </si>
  <si>
    <t>不锈钢门套</t>
  </si>
  <si>
    <t>1、1.2mm厚 MT-01古铜不锈钢门套，结构胶固定
2、9厘玻镁板基层
3、工程量以展开面积计算
4、包含完成该项内容所有工作及费用并满足设计图纸、规范等要求</t>
  </si>
  <si>
    <t>电梯不锈钢门套</t>
  </si>
  <si>
    <t>电梯不锈钢门头</t>
  </si>
  <si>
    <t>1、1.2mm厚 MT-01古铜不锈钢门头，结构胶固定
2、12mm阻燃板，轻钢副龙骨@400
3、电梯门顶内置亚克力，内部面层刮白处理
4、工程量以展开面积计算
5、包含完成该项内容所有工作及费用并满足设计图纸、规范等要求</t>
  </si>
  <si>
    <t>MT-01古铜不锈钢饰面（电梯按钮处）</t>
  </si>
  <si>
    <t>1、1.2mm厚 MT-01古铜不锈钢饰面
2、12mm阻燃板基层，轻钢副龙骨@400
3、工程量以展开面积计算
4、包含完成该项内容所有工作及费用并满足设计图纸、规范等要求</t>
  </si>
  <si>
    <t>50mm CT-06瓷砖踢脚</t>
  </si>
  <si>
    <t>1、50mm CT-06瓷砖踢脚,瓷砖填缝剂处理
2、背覆胶处理
3、C1T等级抗滑移水泥基胶粘剂
4、界面剂拉毛处理
5、包含完成该项内容所有工作及费用并满足设计图纸、规范等要求</t>
  </si>
  <si>
    <t>MT-01古铜不锈钢踢脚线（高20mm）</t>
  </si>
  <si>
    <t>1、1.2mm厚 MT-01古铜不锈钢踢脚线（高20mm，展开面为46mm），结构胶固定
2、9厘玻镁板基层
3、包含完成该项内容所有工作及费用并满足设计图纸、规范等要求</t>
  </si>
  <si>
    <t>MT-01古铜不锈钢线条（展开面为54mm）</t>
  </si>
  <si>
    <t>1、1.2mm厚 MT-01古铜不锈钢线条（展开面为54mm），结构胶固定
2、9厘玻镁板基层
3、包含完成该项内容所有工作及费用并满足设计图纸、规范等要求</t>
  </si>
  <si>
    <t>MT-01古铜不锈钢线条（展开面为69mm）</t>
  </si>
  <si>
    <t>1、1.2mm厚 MT-01古铜不锈钢线条（展开面为69mm），结构胶固定
2、9厘玻镁板基层
3、包含完成该项内容所有工作及费用并满足设计图纸、规范等要求</t>
  </si>
  <si>
    <t>MT-01古铜不锈钢线条（展开面为114mm）</t>
  </si>
  <si>
    <t>1、1.2mm厚 MT-01古铜不锈钢线条（展开面为114mm），结构胶固定
2、9厘玻镁板基层
3、包含完成该项内容所有工作及费用并满足设计图纸、规范等要求</t>
  </si>
  <si>
    <t>MT-01古铜不锈钢顶部收口条（展开面为41mm）</t>
  </si>
  <si>
    <t>1、1.2mm厚 MT-01古铜不锈钢顶部收口条（展开面为41mm），结构胶固定
2、9厘玻镁板基层
3、包含完成该项内容所有工作及费用并满足设计图纸、规范等要求</t>
  </si>
  <si>
    <t>天花工程</t>
  </si>
  <si>
    <t>造型石膏板吊顶</t>
  </si>
  <si>
    <t xml:space="preserve">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
</t>
  </si>
  <si>
    <t>灯槽（100mm*200mm）</t>
  </si>
  <si>
    <t>1.灯槽（100mm*200mm）；
2.双层板：9mm玻镁板、9.5厚石膏板；
3.包含完成该项内容所有工作及费用并满足设计图纸、规范等要求；</t>
  </si>
  <si>
    <t>成品石膏线条</t>
  </si>
  <si>
    <t>1.成品石膏线条（50mm*50mm）；
2.按图纸造型；
3.包含完成该项内容所有工作及费用并满足设计图纸、规范等要求；</t>
  </si>
  <si>
    <t>条形空调风口（150mm）</t>
  </si>
  <si>
    <t>1.条形空调风口（150mm）；
2.风口周边阻燃板封边加固处理；
3.包含完成该项内容所有工作及费用并满足设计图纸、规范等要求；</t>
  </si>
  <si>
    <t>天花肌理无机涂料PT-01</t>
  </si>
  <si>
    <t>1.天花肌理无机涂料PT-01；
2.刮腻子二遍磨平；
3.底漆1遍，面漆2遍；
4.包含完成该项内容所有工作及费用并满足设计图纸、规范等要求；</t>
  </si>
  <si>
    <t>门窗、家具工程</t>
  </si>
  <si>
    <t>设备间暗门(不含面层)</t>
  </si>
  <si>
    <t>1、40x40x5mm热镀锌方管骨架、背封铝塑板
2、含天地轴、门吸等五金配件
3、包含完成该项内容所有工作及费用并满足设计图纸、规范等要求</t>
  </si>
  <si>
    <t>电梯厅门（参DR01）</t>
  </si>
  <si>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</si>
  <si>
    <t>固定玻璃隔断</t>
  </si>
  <si>
    <t>1、GL-01超白钢化玻璃饰面
2、1.2mm厚 MT-01古铜不锈钢饰面边框
3、包含完成该项内容所有工作及费用并满足设计图纸、规范等要求</t>
  </si>
  <si>
    <t>二</t>
  </si>
  <si>
    <t>一层入户大堂、前室（上）</t>
  </si>
  <si>
    <t>地面铺贴大理石ST-01.03拼花</t>
  </si>
  <si>
    <t xml:space="preserve">1.地面20mm大理石拼花、参考3F-DF-01样式、ST-01、ST-03按物料书为准；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</si>
  <si>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造型石膏板吊顶（标高7.15m)</t>
  </si>
  <si>
    <t xml:space="preserve">1.60系列轻钢主龙骨@900，60系列轻钢副龙骨@400，60系列横撑龙骨@600，08螺纹吊杆@900不上人天花吊顶（标高7.15m 投影面计算）
2.玻镁板、双层9.5厚石膏板基层，含开孔、检修口、10*10凹槽等费用；
3.含除灯槽外的侧面高差及其连接件、吊件；
4.包含完成该项内容所有工作及费用并满足设计图纸、规范等要求；
</t>
  </si>
  <si>
    <t>强弱电井暗门(不含面层)</t>
  </si>
  <si>
    <t>消防栓暗门(不含面层)</t>
  </si>
  <si>
    <t>三</t>
  </si>
  <si>
    <t>一层艺术过厅</t>
  </si>
  <si>
    <t>墙面干挂SF-06红砖</t>
  </si>
  <si>
    <t>1、墙面干挂SF-06红砖(墙面刷黑处理)
2、30*30*3镀锌方通钢架，石材干挂胶固定
3、包含完成该项内容所有工作及费用并满足设计图纸、规范等要求</t>
  </si>
  <si>
    <t>MT-01古铜不锈钢饰面</t>
  </si>
  <si>
    <t>1、1.2mm厚 MT-01古铜不锈钢饰面，结构胶固定
2、9厘玻镁板基层
3、工程量以展开面积计算
4、包含完成该项内容所有工作及费用并满足设计图纸、规范等要求</t>
  </si>
  <si>
    <t>透光膜天棚</t>
  </si>
  <si>
    <t>1.透光膜天棚\施工时透气孔和穿线洞口\需加装防虫网防虫措施；
2.不锈钢压边；
3.包含完成该项内容所有工作及费用并满足设计图纸、规范等要求；</t>
  </si>
  <si>
    <t>电动移门(DR02)</t>
  </si>
  <si>
    <t>1、门扇：GL-01超白钢化玻璃
2、门套：1.2mm厚 MT-01古铜不锈钢饰面
3、定制成品套装门制安
4、含电动移门电机(门机安装背梁)等五金配件
5、包含完成该项内容所有工作及费用并满足设计图纸、规范等要求</t>
  </si>
  <si>
    <t>装饰屏风（800mm*100mm*3200mm）</t>
  </si>
  <si>
    <t>1.装饰屏风（800mm*100mm*3200mm）；
2.包括但不限于制作安装、钢结构骨架、阻燃板基层、WD-02木饰面、1.2mm厚 MT-01古铜不锈钢、MT-04手敲铜不锈钢；
3.包含完成该项内容所有工作及费用并满足设计图纸、规范等要求</t>
  </si>
  <si>
    <t>四</t>
  </si>
  <si>
    <t>一层电梯厅（DT3）</t>
  </si>
  <si>
    <t>水井暗门(不含面层)</t>
  </si>
  <si>
    <t>五</t>
  </si>
  <si>
    <t>一层储物间</t>
  </si>
  <si>
    <t>设备间不锈钢门套</t>
  </si>
  <si>
    <t>天花白色防水无机涂料PT-02</t>
  </si>
  <si>
    <t>1.天花白色防水无机涂料PT-02；
2.刮腻子二遍磨平；
3.底漆1遍，面漆2遍；
4.包含完成该项内容所有工作及费用并满足设计图纸、规范等要求；</t>
  </si>
  <si>
    <t>转轴门(DR03)</t>
  </si>
  <si>
    <t>1、正门扇：1.2mm厚 MT-01古铜不锈钢、ST-05石材、不锈钢干挂件、镀锌扁通钢架
2、反门扇：WD-04木饰面、12mm玻镁板
3、定制成品套装门制安
4、含转轴、暗藏闭门器、门把手等五金配件
5、包含完成该项内容所有工作及费用并满足设计图纸、规范等要求</t>
  </si>
  <si>
    <t>六</t>
  </si>
  <si>
    <t xml:space="preserve">一层入户大堂(下） </t>
  </si>
  <si>
    <t>墙面SP-01手绘壁画</t>
  </si>
  <si>
    <t>1、墙面SP-01手绘壁画
2、12mm阻燃板、9mm纸面石膏板、轻钢龙骨构件
3、包含完成该项内容所有工作及费用并满足设计图纸、规范等要求</t>
  </si>
  <si>
    <t>1、1.2mm厚 MT-01古铜不锈钢饰面，结构胶固定
2、9厘玻镁板基层
3、包含完成该项内容所有工作及费用并满足设计图纸、规范等要求</t>
  </si>
  <si>
    <t>服务台</t>
  </si>
  <si>
    <t>1、服务台（2400mm*800mm*1000mm）
2.包括但不限于制作安装、钢结构骨架、石材及石材防污处理、9mm阻燃板基层、ST-07石材台面、1.2mm厚 MT-01古铜不锈钢饰面、SF-05贝母漆、WD-04木饰面；
3.含拉手、抽屉、含相应的线孔洞开设；
4.包含完成该项内容所有工作及费用并满足设计图纸、规范等要求；</t>
  </si>
  <si>
    <t>套</t>
  </si>
  <si>
    <t>七</t>
  </si>
  <si>
    <t>一层过厅通小区</t>
  </si>
  <si>
    <t>八</t>
  </si>
  <si>
    <t>零星工程</t>
  </si>
  <si>
    <t>土建工程</t>
  </si>
  <si>
    <t>新建钢结构隔墙</t>
  </si>
  <si>
    <t>1、新建钢结构隔墙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</si>
  <si>
    <t>B</t>
  </si>
  <si>
    <t>一层咖啡吧（DT6-DT8）</t>
  </si>
  <si>
    <t>地面地砖 CT-01</t>
  </si>
  <si>
    <t xml:space="preserve">1.地面花砖CT-01；
2.10mm厚专用粘结剂；
3.80mm厚DS-M15干混砂浆找平；
4.基层清理；
5.含切边、倒角、拼接等处理；
6.包含完成该项内容所有工作及费用并满足设计图纸、规范等要求；
</t>
  </si>
  <si>
    <t>水泥砂浆找平层</t>
  </si>
  <si>
    <t xml:space="preserve">1.95mm厚DS干混砂浆找平层、需铺符合设计要求标高；
2.完成需收光、压实处理；
3.包含完成该项内容所有工作及费用并满足设计图纸、规范等要求；
</t>
  </si>
  <si>
    <t>墙面CT-05瓷砖</t>
  </si>
  <si>
    <t>1、CT-05瓷砖,瓷砖填缝剂处理
2、背覆胶处理
3、12mm水泥纤维板、轻钢龙骨构件
4、界面剂拉毛处理
5、包含完成该项内容所有工作及费用并满足设计图纸、规范等要求</t>
  </si>
  <si>
    <t>墙面PT-03米色肌理无机涂料</t>
  </si>
  <si>
    <t>1、墙面PT-03米色肌理无机涂料(底漆1遍，面漆2遍)
2、刮白胶腻子找平二遍，打磨
3、阴、阳角护角收边
4、双层9.5mm纸面石膏板
5、轻钢龙骨基层找平
6、包含完成该项内容所有工作及费用并满足设计图纸、规范等要求</t>
  </si>
  <si>
    <t>MR-01银镜</t>
  </si>
  <si>
    <t>1、MR-01银镜
2、胶粘剂固定(中性胶)
3、12mm阻燃板基层
4、膨胀螺栓、轻钢龙骨(钢结构)基层找平
5、包含完成该项内容所有工作及费用并满足设计图纸、规范等要求</t>
  </si>
  <si>
    <t>入户大堂门（参DR01）</t>
  </si>
  <si>
    <t>L形吧台柜</t>
  </si>
  <si>
    <t>1、L形吧台柜（1575+4200mm*600mm*850mm）
2.包括但不限于制作安装、钢结构骨架、石材及石材防污处理、阻燃板基层、ST-06石材台面、1.2mm厚 MT-01古铜不锈钢饰面、WD-04木饰面；
3.含五金配件、相应的线孔洞开设
4.包含完成该项内容所有工作及费用并满足设计图纸、规范等要求</t>
  </si>
  <si>
    <t>MT-02古铜不锈钢置物架</t>
  </si>
  <si>
    <t>1、MT-02古铜不锈钢置物架（L*450mm*130mm）
2、包含完成该项内容所有工作及费用并满足设计图纸、规范等要求</t>
  </si>
  <si>
    <t>一层艺术过厅（DT6-DT8）</t>
  </si>
  <si>
    <t>一层卫生间（DT6-DT8）</t>
  </si>
  <si>
    <t>沉箱陶粒回填</t>
  </si>
  <si>
    <t xml:space="preserve">1、陶粒混凝土回填
2、回填厚度200mm厚
3、完成本清单项目所需的一切相关工作内容，未尽事项详见图纸、工程量清单计价说明、国家相关规范等
</t>
  </si>
  <si>
    <t>20mm厚防水找平层(1:3干硬性水泥砂浆)</t>
  </si>
  <si>
    <t>1.20mm厚防水找平层(1:3干硬性水泥砂浆)；
2.界面剂一道；
3.包含完成该项内容所有工作及费用并满足设计图纸、规范等要求；</t>
  </si>
  <si>
    <t>防水无纺布</t>
  </si>
  <si>
    <t>1.防水无纺布完成面上翻300高(80g/平米)
2.包含完成该项内容所有工作及费用并满足设计图纸、规范等要求；</t>
  </si>
  <si>
    <t>2mm厚JS防水层</t>
  </si>
  <si>
    <t>1.2mm厚JS防水层（两遍）；
2.包含完成该项内容所有工作及费用并满足设计图纸、规范等要求；</t>
  </si>
  <si>
    <t>墙面CT-06瓷砖</t>
  </si>
  <si>
    <t>1、墙面CT-06瓷砖，瓷砖填缝剂处理
2、背覆胶处理
3、C1T等级抗滑移水泥基胶粘剂
4、界面剂拉毛处理
5、包含完成该项内容所有工作及费用并满足设计图纸、规范等要求</t>
  </si>
  <si>
    <t>1.2mm厚JS-Ⅱ聚合物水泥防水涂料</t>
  </si>
  <si>
    <t>1、1.2mm厚JS-Ⅱ聚合物水泥防水涂料
2、包含完成该项内容所有工作及费用并满足设计图纸、规范等要求</t>
  </si>
  <si>
    <t>天花深色肌理无机涂料PT-02</t>
  </si>
  <si>
    <t>1.天花深色肌理无机涂料PT-02；
2.刮腻子二遍磨平；
3.底漆1遍，面漆2遍；
4.包含完成该项内容所有工作及费用并满足设计图纸、规范等要求；</t>
  </si>
  <si>
    <t>一层儿童区（DT6-DT8）</t>
  </si>
  <si>
    <t xml:space="preserve">1.75mm厚DS干混砂浆找平层、需铺符合设计要求标高；
2.完成需收光、压实处理\面层需做自流平（地毯铺设前）；
3.包含完成该项内容所有工作及费用并满足设计图纸、规范等要求；
</t>
  </si>
  <si>
    <t>地面铺贴水磨石VF-01.02</t>
  </si>
  <si>
    <t xml:space="preserve">1.地面铺贴水磨石VF-01.02米色、绿色拼铺、厚度及样式按物料书为准；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</si>
  <si>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地面铺贴地胶垫VF-03</t>
  </si>
  <si>
    <t xml:space="preserve">1.地面铺贴地胶垫VF-03；
2.粘贴层；
3.自流平
4.包含完成该项内容所有工作及费用并满足设计图纸、规范等要求；
</t>
  </si>
  <si>
    <t>墙面PT-04绿色肌理无机涂料</t>
  </si>
  <si>
    <t>1、墙面PT-04绿色肌理无机涂料(底漆1遍，面漆2遍)
2、刮白胶腻子找平二遍，打磨
3、阴、阳角护角收边
4、双层9.5mm纸面石膏板
5、轻钢龙骨基层找平
6、包含完成该项内容所有工作及费用并满足设计图纸、规范等要求</t>
  </si>
  <si>
    <t>一层电梯前厅（DT7-DT8）</t>
  </si>
  <si>
    <t>一层入户大堂\景观廊道（DT6）</t>
  </si>
  <si>
    <t>一层消防控制室前厅（DT6）</t>
  </si>
  <si>
    <t>双开平开门(DR04)</t>
  </si>
  <si>
    <t>1、门扇：颜色材质同消防门、12mm玻镁板、1.2mm厚 MT-01古铜不锈钢饰面
2、定制成品套装门制安
3、含暗藏闭门器、暗合页、门把手等五金配件
4、包含完成该项内容所有工作及费用并满足设计图纸、规范等要求</t>
  </si>
  <si>
    <t>一层电梯前厅（DT5-DT6）</t>
  </si>
  <si>
    <t>九</t>
  </si>
  <si>
    <t>新建轻质砖隔墙</t>
  </si>
  <si>
    <t>1、新建轻质砖隔墙
2、砂浆强度等级、配合比综合考虑，符合设计要求
3、墙厚：综合考虑
4、具体施工做法详见国家相关规范条文
5、包含完成该项内容所有工作及费用并满足设计图纸、规范等要求</t>
  </si>
  <si>
    <t>m3</t>
  </si>
  <si>
    <t>墙面一般抹灰</t>
  </si>
  <si>
    <t>1、墙面一般抹灰
2、具体施工做法详见国家相关规范条文
3、包含完成该项内容所有工作及费用并满足设计图纸、规范等要求</t>
  </si>
  <si>
    <t>C</t>
  </si>
  <si>
    <t>标准层装修部分</t>
  </si>
  <si>
    <t>电梯厅(DT1-DT2)</t>
  </si>
  <si>
    <t>地面铺贴大理石ST-03</t>
  </si>
  <si>
    <t xml:space="preserve">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</si>
  <si>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地面地砖拼花 CT-01.02</t>
  </si>
  <si>
    <t xml:space="preserve">1.地面地砖拼花 CT-01.02；
2.10mm厚专用粘结剂；
3.80mm厚DS-M15干混砂浆找平；
4.基层清理；
5.含切边、倒角、拼接等处理；
6.包含完成该项内容所有工作及费用并满足设计图纸、规范等要求；
</t>
  </si>
  <si>
    <t>墙面WD-08摩素板</t>
  </si>
  <si>
    <t>1、墙面WD-08摩素板(结构胶固定)
2、12厘玻镁板基层
3、膨胀螺栓、轻钢龙骨(钢结构)基层找平
4、包含完成该项内容所有工作及费用并满足设计图纸、规范等要求</t>
  </si>
  <si>
    <t>WD-07摩素板</t>
  </si>
  <si>
    <t>1、墙面WD-07摩素板(结构胶固定)
2、12厘玻镁板基层
3、膨胀螺栓、轻钢龙骨(钢结构)基层找平
4、包含完成该项内容所有工作及费用并满足设计图纸、规范等要求</t>
  </si>
  <si>
    <t>墙面PT-01肌理无机涂料</t>
  </si>
  <si>
    <t>1、墙面PT-01肌理无机涂料(底漆1遍，面漆2遍)
2、刮白胶腻子找平二遍，打磨
3、阴、阳角护角收边
4、双层9.5mm纸面石膏板
5、轻钢龙骨基层找平
6、包含完成该项内容所有工作及费用并满足设计图纸、规范等要求</t>
  </si>
  <si>
    <t>1、1.2mm厚 MT-01古铜不锈钢饰面，结构胶固定
2、12厘玻镁板基层
3、包含完成该项内容所有工作及费用并满足设计图纸、规范等要求</t>
  </si>
  <si>
    <t>MT-04手敲铜不锈钢饰面</t>
  </si>
  <si>
    <t>1、1.2mm厚 MT-04手敲铜不锈钢饰面，结构胶固定
2、12厘玻镁板基层
3、包含完成该项内容所有工作及费用并满足设计图纸、规范等要求</t>
  </si>
  <si>
    <t>SF-03透光片</t>
  </si>
  <si>
    <t>1、SF-03透光片，结构胶固定
2、12厘玻镁板基层
3、包含完成该项内容所有工作及费用并满足设计图纸、规范等要求</t>
  </si>
  <si>
    <t>MT-01古铜不锈钢线条（展开面为32mm）</t>
  </si>
  <si>
    <t>1、1.2mm厚 MT-01古铜不锈钢线条（展开面为32mm），结构胶固定
2、12厘玻镁板基层
3、包含完成该项内容所有工作及费用并满足设计图纸、规范等要求</t>
  </si>
  <si>
    <t>MT-01古铜不锈钢线条（展开面为33mm）</t>
  </si>
  <si>
    <t>1、1.2mm厚 MT-01古铜不锈钢线条（展开面为33mm），结构胶固定
2、12厘玻镁板基层
3、包含完成该项内容所有工作及费用并满足设计图纸、规范等要求</t>
  </si>
  <si>
    <t>MT-01古铜不锈钢窗套（展开面为95mm）</t>
  </si>
  <si>
    <t>1、1.2mm厚 MT-01古铜不锈钢窗套（展开面为95mm），结构胶固定
2、9厘玻镁板基层
3、包含完成该项内容所有工作及费用并满足设计图纸、规范等要求</t>
  </si>
  <si>
    <t>电梯厅(DT3-DT4)</t>
  </si>
  <si>
    <t>电梯厅(DT6)</t>
  </si>
  <si>
    <t>电梯厅(DT7)</t>
  </si>
  <si>
    <t>拆除墙体</t>
  </si>
  <si>
    <t>1、拆除墙体
2、墙厚：综合考虑
3、包含完成该项内容所有工作及费用并满足设计图纸、规范等要求</t>
  </si>
  <si>
    <t>D</t>
  </si>
  <si>
    <t>会所装修部分（第三层）</t>
  </si>
  <si>
    <t>门厅</t>
  </si>
  <si>
    <t>地面1:3:5(水泥:沙:陶粒)</t>
  </si>
  <si>
    <t xml:space="preserve">1、陶粒混凝土回填
2、回填厚度165mm厚
3、完成本清单项目所需的一切相关工作内容，未尽事项详见图纸、工程量清单计价说明、国家相关规范等
</t>
  </si>
  <si>
    <t>地台钢支架围挡</t>
  </si>
  <si>
    <t>1.地台钢支架围挡 H260mm
2.预埋5mm厚度镀锌钢板与支架成型、防锈防腐处理
3.包含完成该项内容所有工作及费用并满足设计图纸、规范等要求；</t>
  </si>
  <si>
    <t xml:space="preserve">1.地面20mm大理石ST-01、皮革面与非皮革面错位铺贴、厚度及样式按物料书为准；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</si>
  <si>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地面铺贴大理石ST-01拼花</t>
  </si>
  <si>
    <t xml:space="preserve">1.地面20mm大理石拼花、参考3F-DF-01样式、ST-01按物料书为准；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</si>
  <si>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地面铺贴大理石ST-05</t>
  </si>
  <si>
    <t xml:space="preserve">1.地面大理石ST-05铺贴、厚度及样式按物料书为准；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</si>
  <si>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</si>
  <si>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</si>
  <si>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墙面WD-03木饰面</t>
  </si>
  <si>
    <t>1、墙面WD-03木饰面（含不锈钢线条）
2、结构胶固定
3、12mm阻燃板基层
4、膨胀螺栓、轻钢龙骨(钢结构)基层找平
5、包含完成该项内容所有工作及费用并满足设计图纸、规范等要求</t>
  </si>
  <si>
    <t>1、MR-01银镜（含不锈钢线条）
2、胶粘剂固定(中性胶)
3、12mm阻燃板基层
4、膨胀螺栓、轻钢龙骨(钢结构)基层找平
5、包含完成该项内容所有工作及费用并满足设计图纸、规范等要求</t>
  </si>
  <si>
    <t>12mm阻燃板+9.5mm纸面石膏板(刷白处理)</t>
  </si>
  <si>
    <t>1、12mm阻燃板+9.5mm纸面石膏板(刷白处理)
2、包含完成该项内容所有工作及费用并满足设计图纸、规范等要求</t>
  </si>
  <si>
    <t>1.60系列轻钢主龙骨@900，60系列轻钢副龙骨@400，60系列横撑龙骨@600，08螺纹吊杆@900不上人天花吊顶（投影面计算）
2.双层9.5厚石膏板基层，含开孔、检修口、10*10凹槽等费用；
3.含除灯槽外的侧面高差及其连接件、吊件；
4.包含完成该项内容所有工作及费用并满足设计图纸、规范等要求；</t>
  </si>
  <si>
    <t>可拆卸天花铝板吊顶</t>
  </si>
  <si>
    <t xml:space="preserve">1.异形勾搭龙骨，08螺纹吊杆@900不上人天花吊顶（投影面计算）
2.可拆卸天花铝板吊顶，含开孔、检修口、10*10凹槽等费用；
3.含除灯槽外的侧面高差及其连接件、吊件；
4.包含完成该项内容所有工作及费用并满足设计图纸、规范等要求；
</t>
  </si>
  <si>
    <t>窗帘盒（200mm*200mm）</t>
  </si>
  <si>
    <t>1.窗帘盒窗帘盒（200mm*200mm）；
2.双层板：9mm玻镁板、9.5厚石膏板；
3.50系列轻钢龙骨及其连接件、吊件；
4.包含完成该项内容所有工作及费用并满足设计图纸、规范等要求；</t>
  </si>
  <si>
    <t>天花内部喷白涂料</t>
  </si>
  <si>
    <t>1.天花内部喷白涂料；
2.可拆卸天花内部构件、管道、楼板喷白处理；
3.底漆1遍，面漆1遍（按天棚投影面积计算）；
4.包含完成该项内容所有工作及费用并满足设计图纸、规范等要求；</t>
  </si>
  <si>
    <t>装饰屏风（1810mm*100mm*3400mm）</t>
  </si>
  <si>
    <t>1.装饰屏风（1810mm*100mm*3400mm）；
2.包括但不限于制作安装、钢结构骨架、阻燃板基层、WD-01木饰面、WD-06木皮、1.2mm厚 MT-01古铜不锈钢、MT-04手敲铜不锈钢；
3.包含完成该项内容所有工作及费用并满足设计图纸、规范等要求</t>
  </si>
  <si>
    <t>接待台</t>
  </si>
  <si>
    <t>1、接待台（3550mm*1100mm*1100mm）
2.包括但不限于制作安装、钢结构骨架、石材及石材防污处理、9mm阻燃板基层、ST-07石材台面、WD-04木饰面；
3.含五金配件、相应的线孔洞开设等；
4.包含完成该项内容所有工作及费用并满足设计图纸、规范等要求；</t>
  </si>
  <si>
    <t>电梯厅、艺术过厅</t>
  </si>
  <si>
    <t>造型石膏板吊顶（含圆侧）</t>
  </si>
  <si>
    <t>电表间暗门(不含面层)</t>
  </si>
  <si>
    <t>半户外花园</t>
  </si>
  <si>
    <t>地面地砖 CT-05</t>
  </si>
  <si>
    <t xml:space="preserve">1.地面花砖CT-05；
2.10mm厚专用粘结剂；
3.80mm厚DS-M15干混砂浆找平；
4.基层清理；
5.含切边、倒角、拼接等处理；
6.包含完成该项内容所有工作及费用并满足设计图纸、规范等要求；
</t>
  </si>
  <si>
    <t>天花白色无机涂料PT-01</t>
  </si>
  <si>
    <t>1.天花白色无机涂料PT-01；
2.刮腻子二遍磨平；
3.底漆1遍，面漆2遍；
4.包含完成该项内容所有工作及费用并满足设计图纸、规范等要求；</t>
  </si>
  <si>
    <t>男卫、女卫、清洁间</t>
  </si>
  <si>
    <t>墙面干挂ST-03石材</t>
  </si>
  <si>
    <t>1、墙面干挂ST-03石材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</si>
  <si>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墙面WD-04木饰面</t>
  </si>
  <si>
    <t>1、墙面WD-04木饰面（含不锈钢线条）
2、结构胶固定
3、12mm阻燃板基层
4、膨胀螺栓、轻钢龙骨(钢结构)基层找平
5、包含完成该项内容所有工作及费用并满足设计图纸、规范等要求</t>
  </si>
  <si>
    <t>WP-03墙布</t>
  </si>
  <si>
    <t>1、WP-03墙布，结构胶固定（含不锈钢线条）
2、12mm阻燃板，轻钢副龙骨@400
3、包含完成该项内容所有工作及费用并满足设计图纸、规范等要求</t>
  </si>
  <si>
    <t>1、CT-06瓷砖,瓷砖填缝剂处理
2、背覆胶处理
3、12mm水泥纤维板、轻钢龙骨构件
4、界面剂拉毛处理
5、包含完成该项内容所有工作及费用并满足设计图纸、规范等要求</t>
  </si>
  <si>
    <t>条形空调风口（150mm宽）</t>
  </si>
  <si>
    <t>1.条形空调风口（150mm宽）；
2.风口周边阻燃板封边加固处理；
3.包含完成该项内容所有工作及费用并满足设计图纸、规范等要求；</t>
  </si>
  <si>
    <t>门窗工程</t>
  </si>
  <si>
    <t>卫生间门（DR01）</t>
  </si>
  <si>
    <t>1、门扇：WD-03木饰面、20*40mm热镀锌矩管、9mm厚玻镁板基层
2、门套：WD-03木饰面
3、定制成品套装门制安
4、含暗合页、门把手等五金配件
5、包含完成该项内容所有工作及费用并满足设计图纸、规范等要求</t>
  </si>
  <si>
    <t>清洁间门</t>
  </si>
  <si>
    <t>1、门扇：WD-03木饰面、20*40mm热镀锌矩管、9mm厚玻镁板基层
2、定制成品套装门制安
3、含暗合页、门把手等五金配件
4、包含完成该项内容所有工作及费用并满足设计图纸、规范等要求</t>
  </si>
  <si>
    <t>洗手台镜柜一体</t>
  </si>
  <si>
    <t>1、洗手台镜柜一体（1790mm*660mm*2550mm）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</si>
  <si>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WD-04木饰面隔断</t>
  </si>
  <si>
    <t>1、WD-04木饰面隔断
2、含五金配件及门
3、包含完成该项内容所有工作及费用并满足设计图纸、规范等要求</t>
  </si>
  <si>
    <t>GL-02艺术玻璃隔断</t>
  </si>
  <si>
    <t>1、GL-02艺术玻璃隔断（400mm*50mm*1070mm）
2、GL-02艺术玻璃饰面、MT-01古铜不锈钢边框、20x40x3mm热镀锌方管、3mm热镀锌钢板U型槽
3、包含完成该项内容所有工作及费用并满足设计图纸、规范等要求</t>
  </si>
  <si>
    <t>洽谈区\沙盘区\水吧区</t>
  </si>
  <si>
    <t xml:space="preserve">1.75mm厚DS干混砂浆找平层、需铺符合设计要求标高；
2.完成需收光、压实处理；
3.包含完成该项内容所有工作及费用并满足设计图纸、规范等要求；
</t>
  </si>
  <si>
    <t>墙面WD-01木饰面</t>
  </si>
  <si>
    <t>1、墙面WD-01木饰面（含不锈钢线条）
2、结构胶固定
3、12mm阻燃板基层
4、膨胀螺栓、轻钢龙骨(钢结构)基层找平
5、包含完成该项内容所有工作及费用并满足设计图纸、规范等要求</t>
  </si>
  <si>
    <t>SF-04陶瓷砖</t>
  </si>
  <si>
    <t>1、SF-04陶瓷砖，结构胶固定
2、12厘玻镁板基层
3、包含完成该项内容所有工作及费用并满足设计图纸、规范等要求</t>
  </si>
  <si>
    <t>MT-01古铜不锈钢线条（展开面为61mm）</t>
  </si>
  <si>
    <t>1、1.2mm厚 MT-01古铜不锈钢线条（展开面为61mm），结构胶固定
2、9厘玻镁板基层
3、包含完成该项内容所有工作及费用并满足设计图纸、规范等要求</t>
  </si>
  <si>
    <t>MT-01古铜不锈钢线条（展开面为104mm）</t>
  </si>
  <si>
    <t>1、1.2mm厚 MT-01古铜不锈钢线条（展开面为104mm），结构胶固定
2、9厘玻镁板基层
3、包含完成该项内容所有工作及费用并满足设计图纸、规范等要求</t>
  </si>
  <si>
    <t>造型石膏板吊顶（内顶多层叠型）</t>
  </si>
  <si>
    <t xml:space="preserve">1.60系列轻钢主龙骨@900，60系列轻钢副龙骨@400，60系列横撑龙骨@600，08螺纹吊杆@900不上人天花吊顶（投影面计算）
2.玻镁板、多层9.5厚石膏板基层，含开孔、检修口、10*10凹槽等费用；
3.含除灯槽外的侧面高差及其连接件、吊件；
4.包含完成该项内容所有工作及费用并满足设计图纸、规范等要求；
</t>
  </si>
  <si>
    <t>配电间暗门(不含面层)</t>
  </si>
  <si>
    <t>沙盘</t>
  </si>
  <si>
    <t>1、沙盘（3500mm*2500mm*850mm）
2.包括但不限于制作安装、钢结构骨架、石材及石材防污处理、阻燃板基层、ST-07石材、1.2mm厚 MT-01古铜不锈钢饰面、GL-01超白钢化玻璃；
3.含五金配件、相应的线孔洞开设
4.包含完成该项内容所有工作及费用并满足设计图纸、规范等要求</t>
  </si>
  <si>
    <t>洽谈区柜</t>
  </si>
  <si>
    <t>1、洽谈区柜（4050mm*350mm*3400mm）
2.包括但不限于制作安装、钢结构骨架、阻燃板基层、1.2mm厚 MT-01古铜不锈钢线条、WD-04木饰面、GL-02艺术玻璃；
3.含相应的线孔洞开设
4.包含完成该项内容所有工作及费用并满足设计图纸、规范等要求</t>
  </si>
  <si>
    <t>水吧台</t>
  </si>
  <si>
    <t>1、水吧台（6800mm*1100mm*3400mm）
2.包括但不限于制作安装、钢结构骨架、石材及石材防污处理、9mm阻燃板基层、ST-06石材台面、MT-08镜面不锈钢饰面、MT-01不锈钢、MT-02不锈钢、SF-03透光片；
3.含层板、五金配件、相应的线孔洞开设；
4.包含完成该项内容所有工作及费用并满足设计图纸、规范等要求；</t>
  </si>
  <si>
    <t>VIP室</t>
  </si>
  <si>
    <t>地面铺木地板</t>
  </si>
  <si>
    <t xml:space="preserve">1.地面防潮木地板WF-03；
2.防潮膜；
3.自流平
4.包含完成该项内容所有工作及费用并满足设计图纸、规范等要求；
</t>
  </si>
  <si>
    <t>1、墙面WD-04木饰面
2、结构胶固定
3、12mm阻燃板基层
4、膨胀螺栓、轻钢龙骨(钢结构)基层找平
5、包含完成该项内容所有工作及费用并满足设计图纸、规范等要求</t>
  </si>
  <si>
    <t>UP-02皮革</t>
  </si>
  <si>
    <t>1、UP-02皮革，结构胶固定（含不锈钢线条）
2、12mm阻燃板，轻钢副龙骨@400
3、包含完成该项内容所有工作及费用并满足设计图纸、规范等要求</t>
  </si>
  <si>
    <t>1、门扇：1.2mm厚 MT-01古铜不锈钢饰面、GL-02艺术玻璃、ST-08石材、50*50热镀锌矩管、9mm厚玻镁板基层
2、定制成品套装门制安
3、含天地轴等五金配件
4、包含完成该项内容所有工作及费用并满足设计图纸、规范等要求</t>
  </si>
  <si>
    <t>艺术过厅</t>
  </si>
  <si>
    <t xml:space="preserve">1.地面防潮木地板WF-02；
2.防潮膜；
3.自流平
4.包含完成该项内容所有工作及费用并满足设计图纸、规范等要求；
</t>
  </si>
  <si>
    <t>财务签约室</t>
  </si>
  <si>
    <t>WP-05墙布</t>
  </si>
  <si>
    <t>1、WP-05墙布，结构胶固定（含不锈钢线条）
2、12mm阻燃板，轻钢副龙骨@400
3、包含完成该项内容所有工作及费用并满足设计图纸、规范等要求</t>
  </si>
  <si>
    <t>平开门(DR04)</t>
  </si>
  <si>
    <t>销售办公室</t>
  </si>
  <si>
    <t>办公室门(DR06)</t>
  </si>
  <si>
    <t>1、正门扇：1.2mm厚 MT-01古铜不锈钢、WD-03木饰面、镀锌扁通钢架、9mm厚玻镁板基层
2、反门扇：SF-02软瓷
3、定制成品套装门制安
4、含暗合页、门把手等五金配件
5、包含完成该项内容所有工作及费用并满足设计图纸、规范等要求</t>
  </si>
  <si>
    <t>电梯厅(DT5.DT6)</t>
  </si>
  <si>
    <t>电梯厅门（参DR05）</t>
  </si>
  <si>
    <t>十</t>
  </si>
  <si>
    <t>行政酒廊</t>
  </si>
  <si>
    <t>墙面干挂ST-09石材</t>
  </si>
  <si>
    <t>1、墙面干挂ST-09石材（含不锈钢线条）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</si>
  <si>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SF-02软瓷</t>
  </si>
  <si>
    <t>1、SF-02软瓷，结构胶固定
2、12厘玻镁板基层
3、包含完成该项内容所有工作及费用并满足设计图纸、规范等要求</t>
  </si>
  <si>
    <t>UP-01皮革</t>
  </si>
  <si>
    <t>1、UP-01皮革，结构胶固定（含不锈钢线条）
2、12mm阻燃板，轻钢副龙骨@400
3、包含完成该项内容所有工作及费用并满足设计图纸、规范等要求</t>
  </si>
  <si>
    <t>MT-01古铜不锈钢线条（展开面为118mm）</t>
  </si>
  <si>
    <t>1、1.2mm厚MT-01古铜不锈钢线条（展开面为118mm），结构胶固定
2、9厘玻镁板基层
3、包含完成该项内容所有工作及费用并满足设计图纸、规范等要求</t>
  </si>
  <si>
    <t>甲级防火门（DR05）</t>
  </si>
  <si>
    <t>甲级防火门(DR07)</t>
  </si>
  <si>
    <t>十一</t>
  </si>
  <si>
    <t>送餐通道、主题壁画通道</t>
  </si>
  <si>
    <t>十二</t>
  </si>
  <si>
    <t>储物间\半户外花园</t>
  </si>
  <si>
    <t>十三</t>
  </si>
  <si>
    <t>私宴(小包房)</t>
  </si>
  <si>
    <t>WP-02墙布</t>
  </si>
  <si>
    <t>1、WP-02墙布，结构胶固定（含不锈钢线条）
2、12mm阻燃板，轻钢副龙骨@400
3、包含完成该项内容所有工作及费用并满足设计图纸、规范等要求</t>
  </si>
  <si>
    <t>镜面不锈钢吊顶</t>
  </si>
  <si>
    <t xml:space="preserve">1.60系列轻钢主龙骨@900，60系列轻钢副龙骨@400，60系列横撑龙骨@600，08螺纹吊杆@900不上人天花吊顶（投影面计算）
2.玻镁板、复合9mm蜂窝不锈钢MT-08，含开孔、检修口等费用；
3.含除灯槽外的侧面高差及其连接件、吊件；
4.包含完成该项内容所有工作及费用并满足设计图纸、规范等要求；
</t>
  </si>
  <si>
    <t>转轴门(DR08)</t>
  </si>
  <si>
    <t>GL-04艺术玻璃隔断</t>
  </si>
  <si>
    <t>1、GL-04艺术玻璃隔断、MT-01古铜不锈钢边框（由专业厂家深化）
2、包含完成该项内容所有工作及费用并满足设计图纸、规范等要求</t>
  </si>
  <si>
    <t>GL-04艺术玻璃平开门</t>
  </si>
  <si>
    <t>1、GL-04艺术玻璃平开门、MT-01古铜不锈钢边框（由专业厂家深化）
2、包含完成该项内容所有工作及费用并满足设计图纸、规范等要求</t>
  </si>
  <si>
    <t>酒窖收纳架</t>
  </si>
  <si>
    <t>1、酒窖收纳架（1545mm*1545mm*3400mm）
2、包含完成该项内容所有工作及费用并满足设计图纸、规范等要求</t>
  </si>
  <si>
    <t>十四</t>
  </si>
  <si>
    <t>候梯厅(消防电梯前室)</t>
  </si>
  <si>
    <t>电梯厅门（参DR07）</t>
  </si>
  <si>
    <t>十五</t>
  </si>
  <si>
    <t>地面铺贴大理石st-01、ST-03（波打）</t>
  </si>
  <si>
    <t xml:space="preserve">1.地面20mm大理石ST-01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</si>
  <si>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私宴(大包房)</t>
  </si>
  <si>
    <t>十六</t>
  </si>
  <si>
    <t>私宴(大包房)、前厅</t>
  </si>
  <si>
    <t>地面铺贴大理石ST-06</t>
  </si>
  <si>
    <t xml:space="preserve">1.地面20mm大理石ST-06、铺贴、厚度及样式按物料书为准；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</si>
  <si>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 xml:space="preserve">1.地面防潮木地板WF-01；
2.防潮膜；
3.自流平
4.包含完成该项内容所有工作及费用并满足设计图纸、规范等要求；
</t>
  </si>
  <si>
    <t>SF-08珐琅彩</t>
  </si>
  <si>
    <t>1、SF-08珐琅彩，结构胶固定
2、12厘玻镁板基层
3、包含完成该项内容所有工作及费用并满足设计图纸、规范等要求</t>
  </si>
  <si>
    <t>古铜不锈钢吊顶</t>
  </si>
  <si>
    <t xml:space="preserve">1.60系列轻钢主龙骨@900，60系列轻钢副龙骨@400，60系列横撑龙骨@600，08螺纹吊杆@900不上人天花吊顶（投影面计算）
2.玻镁板、古铜不锈钢MT-01，含开孔、检修口等费用；
3.含除灯槽外的侧面高差及其连接件、吊件；
4.包含完成该项内容所有工作及费用并满足设计图纸、规范等要求；
</t>
  </si>
  <si>
    <t>转轴门(DR011)</t>
  </si>
  <si>
    <t>1、门扇：1.2mm厚 MT-01古铜不锈钢饰面、GL-02艺术玻璃、ST-08石材
2、门套：WD-04木饰面
3、定制成品套装门制安
4、含天地轴等五金配件
5、包含完成该项内容所有工作及费用并满足设计图纸、规范等要求</t>
  </si>
  <si>
    <t>平开门(DR12)</t>
  </si>
  <si>
    <t>1、门扇：WD-04木饰面、20*40mm热镀锌矩管、9mm厚玻镁板基层
2、定制成品套装门制安
3、含暗合页、门把手等五金配件
4、包含完成该项内容所有工作及费用并满足设计图纸、规范等要求</t>
  </si>
  <si>
    <t>平开门（参DR01）</t>
  </si>
  <si>
    <t>收纳柜</t>
  </si>
  <si>
    <t>1、收纳柜（1400mm*600mm*3400mm）
2.包括但不限于制作安装、钢结构骨架、阻燃板基层、1.2mm厚 MT-01古铜不锈钢线条、WD-04木饰面
3.含五金配件等
4.包含完成该项内容所有工作及费用并满足设计图纸、规范等要求</t>
  </si>
  <si>
    <t>开放柜</t>
  </si>
  <si>
    <t>1、洽谈区柜（1100mm*600mm*2020mm）
2.包括但不限于制作安装、钢结构骨架、阻燃板基层、ST-07石材台面、1.2mm厚 MT-01古铜不锈钢线条、WD-04木饰面
3.含层板、五金配件、相应的线孔洞开设等
4.包含完成该项内容所有工作及费用并满足设计图纸、规范等要求</t>
  </si>
  <si>
    <t>备餐柜</t>
  </si>
  <si>
    <t>1、备餐柜（L*600mm*850mm）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</si>
  <si>
    <t>十七</t>
  </si>
  <si>
    <t>卫生间</t>
  </si>
  <si>
    <t>WP-04墙布</t>
  </si>
  <si>
    <t>1、WP-04墙布，结构胶固定（含不锈钢线条）
2、12mm阻燃板，轻钢副龙骨@400
3、包含完成该项内容所有工作及费用并满足设计图纸、规范等要求</t>
  </si>
  <si>
    <t>卫生间门（参DR12）</t>
  </si>
  <si>
    <t>1、门扇：1.2mm厚 MT-01古铜不锈钢饰面、WD-04木饰面
2、定制成品套装门制安
3、含门把手等五金配件
4、包含完成该项内容所有工作及费用并满足设计图纸、规范等要求</t>
  </si>
  <si>
    <t>洗手台</t>
  </si>
  <si>
    <t>1、洗手台（Lmm*470mm*600mm）
2.包括但不限于制作安装、钢结构骨架、石材及石材防污处理、9mm阻燃板基层、ST-07石材台面、1.2mm厚 MT-01古铜不锈钢饰面、WD-03木饰面；
3.含拉手、抽屉、含相应的线孔洞开设；
4.包含完成该项内容所有工作及费用并满足设计图纸、规范等要求；</t>
  </si>
  <si>
    <t>十八</t>
  </si>
  <si>
    <t>储物间\操作间</t>
  </si>
  <si>
    <t>平开门(DR010)</t>
  </si>
  <si>
    <t>平开门(DR009)</t>
  </si>
  <si>
    <t>1、正门扇：1.2mm厚 MT-01古铜不锈钢、WD-03木饰面、20*40mm热镀锌矩管、9mm厚玻镁板基层
2、反门扇：MR-01银镜
3、定制成品套装门制安
4、含转轴、暗藏闭门器、门把手等五金配件
5、包含完成该项内容所有工作及费用并满足设计图纸、规范等要求</t>
  </si>
  <si>
    <t>操作间地柜</t>
  </si>
  <si>
    <t>1、操作间地柜（L*600mm*850mm）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</si>
  <si>
    <t>十九</t>
  </si>
  <si>
    <t>简餐咖啡厅</t>
  </si>
  <si>
    <t>地面铺贴大理石st-02、ST-03（波打）</t>
  </si>
  <si>
    <t xml:space="preserve">1.地面20mm大理石ST-02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</si>
  <si>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墙面CT-04瓷砖</t>
  </si>
  <si>
    <t>1、CT-04瓷砖,瓷砖填缝剂处理
2、背覆胶处理
3、Φ6钢筋焊钢丝网固定
4、界面剂拉毛处理
5、包含完成该项内容所有工作及费用并满足设计图纸、规范等要求</t>
  </si>
  <si>
    <t>成品石膏板造型吊顶</t>
  </si>
  <si>
    <t xml:space="preserve">1.60系列轻钢主龙骨@900，60系列轻钢副龙骨@400，60系列横撑龙骨@600，08螺纹吊杆@900不上人天花吊顶（投影面计算）
2.玻镁板、半圆成品石膏板造型吊顶，含开孔、检修口等费用；
3.含除灯槽外的侧面高差及其连接件、吊件；
4.包含完成该项内容所有工作及费用并满足设计图纸、规范等要求；
</t>
  </si>
  <si>
    <t>1、水吧台（4350mm*900mm*1100mm）
2.包括但不限于制作安装、钢结构骨架、石材及石材防污处理、9mm阻燃板基层、ST-06石材台面、MT-08镜面不锈钢饰面、MT-01不锈钢线条、WD-03木饰面；
3.含拉手、抽屉、含相应的线孔洞开设；
4.包含完成该项内容所有工作及费用并满足设计图纸、规范等要求；</t>
  </si>
  <si>
    <t>水吧柜</t>
  </si>
  <si>
    <t>1、水吧柜（Lmm*450mm*520mm）
2.包括但不限于制作安装、钢结构骨架、石材及石材防污处理、阻燃板基层、ST-06石材台面、1.2mm厚 MT-01古铜不锈钢线条、WD-03木饰面；
3.含合页等五金配件、相应的线孔洞开设
4.包含完成该项内容所有工作及费用并满足设计图纸、规范等要求</t>
  </si>
  <si>
    <t>MT-01古铜不锈钢置物架</t>
  </si>
  <si>
    <t>1、MT-01古铜不锈钢置物架（L*300mm*85mm）
2、包含完成该项内容所有工作及费用并满足设计图纸、规范等要求</t>
  </si>
  <si>
    <t>二十</t>
  </si>
  <si>
    <t>E</t>
  </si>
  <si>
    <t>健身房装修部分（第三层）</t>
  </si>
  <si>
    <t>瑜伽室</t>
  </si>
  <si>
    <t>1.75mm厚DS干混砂浆找平层、需铺符合设计要求标高；
2.完成需收光、压实处理\面层需做自流平（地毯铺设前）；
3.包含完成该项内容所有工作及费用并满足设计图纸、规范等要求；</t>
  </si>
  <si>
    <t>地面铺贴ES-04木纹运动地胶</t>
  </si>
  <si>
    <t>1.地面铺贴ES-04木纹运动地胶；
2.粘贴层；
3.自流平
4.包含完成该项内容所有工作及费用并满足设计图纸、规范等要求；</t>
  </si>
  <si>
    <t>墙面WD-04摩素板</t>
  </si>
  <si>
    <t>1、墙面WD-04摩素板(结构胶固定，含不锈钢线条)
2、12mm阻燃板基层
3、轻钢副龙骨@400、轻钢龙骨构件
4、包含完成该项内容所有工作及费用并满足设计图纸、规范等要求</t>
  </si>
  <si>
    <t>灯槽（100mm*300mm）</t>
  </si>
  <si>
    <t>1.灯槽（100mm*300mm）；
2.双层板：双层9.5mm厚石膏板；
3.包含完成该项内容所有工作及费用并满足设计图纸、规范等要求；</t>
  </si>
  <si>
    <t>1.成品石膏线条；
2.按图纸造型；
3.包含完成该项内容所有工作及费用并满足设计图纸、规范等要求；</t>
  </si>
  <si>
    <t>窗帘盒（100mm*200mm）</t>
  </si>
  <si>
    <t>1.窗帘盒窗帘盒（100mm*200mm）；
2.双层板：9mm玻镁板、9.5厚石膏板；
3.50系列轻钢龙骨及其连接件、吊件；
4.包含完成该项内容所有工作及费用并满足设计图纸、规范等要求；</t>
  </si>
  <si>
    <t>玻璃门</t>
  </si>
  <si>
    <t>玻璃隔断</t>
  </si>
  <si>
    <t>1、GL-02艺术玻璃隔断、MT-01古铜不锈钢边框（由专业厂家深化）
2、包含完成该项内容所有工作及费用并满足设计图纸、规范等要求</t>
  </si>
  <si>
    <t>平开门</t>
  </si>
  <si>
    <t>健身房</t>
  </si>
  <si>
    <t>地面铺贴ES-01浅色运动地胶</t>
  </si>
  <si>
    <t>1.地面铺贴ES-01浅色运动地胶；
2.粘贴层；
3.自流平
4.包含完成该项内容所有工作及费用并满足设计图纸、规范等要求；</t>
  </si>
  <si>
    <t>地面铺贴ES-02米色运动地胶</t>
  </si>
  <si>
    <t>1.地面铺贴ES-02米色运动地胶；
2.粘贴层；
3.自流平
4.包含完成该项内容所有工作及费用并满足设计图纸、规范等要求；</t>
  </si>
  <si>
    <t>地面铺贴ES-03深色运动地胶</t>
  </si>
  <si>
    <t>1.地面铺贴ES-03深色运动地胶；
2.粘贴层；
3.自流平
4.包含完成该项内容所有工作及费用并满足设计图纸、规范等要求；</t>
  </si>
  <si>
    <t>镜柜</t>
  </si>
  <si>
    <t>1、镜柜（1760mm*480mm*3200mm）
2.包括但不限于制作安装、阻燃板基层、1.2mm厚 MT-01古铜不锈钢线条、WD-01木饰面、MR-01银镜
3.含五金配件等
4.包含完成该项内容所有工作及费用并满足设计图纸、规范等要求</t>
  </si>
  <si>
    <t>收纳柜L900mm</t>
  </si>
  <si>
    <t>1、收纳柜（900mm*500mm*3200mm）
2.包括但不限于制作安装、阻燃板基层、WD-01木饰面
3.含五金配件等
4.包含完成该项内容所有工作及费用并满足设计图纸、规范等要求</t>
  </si>
  <si>
    <t>收纳柜L1400mm</t>
  </si>
  <si>
    <t>1、收纳柜（1400mm*500mm*3200mm）
2.包括但不限于制作安装、阻燃板基层、WD-01木饰面
3.含五金配件等
4.包含完成该项内容所有工作及费用并满足设计图纸、规范等要求</t>
  </si>
  <si>
    <t>热水间</t>
  </si>
  <si>
    <t>墙面湿贴石材ST-03踢脚线</t>
  </si>
  <si>
    <t>1、墙面湿贴石材ST-03踢脚线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</si>
  <si>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石膏板吊顶</t>
  </si>
  <si>
    <t xml:space="preserve">1.60系列轻钢主龙骨@900，60系列轻钢副龙骨@400，60系列横撑龙骨@600，08螺纹吊杆@900不上人天花吊顶（投影面计算）
2.玻镁板、双层9.5厚石膏板基层，含开孔、检修口、10*10凹槽等费用；
3.包含完成该项内容所有工作及费用并满足设计图纸、规范等要求；
</t>
  </si>
  <si>
    <t>1、门扇：WD-01木饰面、20*40mm热镀锌矩管、9mm厚玻镁板基层
2、定制成品套装门制安
3、含暗合页、门把手等五金配件
4、包含完成该项内容所有工作及费用并满足设计图纸、规范等要求</t>
  </si>
  <si>
    <t>更衣室</t>
  </si>
  <si>
    <t>墙面湿贴石材ST-07</t>
  </si>
  <si>
    <t>1、墙面湿贴石材ST-07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</si>
  <si>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WP-01墙布</t>
  </si>
  <si>
    <t>1、WP-01墙布，结构胶固定（含不锈钢线条）
2、10mm水泥纤维板
3、包含完成该项内容所有工作及费用并满足设计图纸、规范等要求</t>
  </si>
  <si>
    <t>木饰面平开门</t>
  </si>
  <si>
    <t>1、门扇：WD-01木饰面、20*40mm热镀锌矩管、9mm厚玻镁板基层
2、门套：WD-01木饰面
3、定制成品套装门制安
4、含暗合页、门把手等五金配件
5、包含完成该项内容所有工作及费用并满足设计图纸、规范等要求</t>
  </si>
  <si>
    <t>磨砂玻璃门</t>
  </si>
  <si>
    <t>1、门扇：1.2mm厚 MT-01古铜不锈钢饰面、磨砂玻璃
2、定制成品套装门制安
3、含成品门铰链等五金配件
4、包含完成该项内容所有工作及费用并满足设计图纸、规范等要求</t>
  </si>
  <si>
    <t>洗手台镜柜一体L1750mm</t>
  </si>
  <si>
    <t>1、洗手台镜柜一体（1750mm*700mm*2550mm）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</si>
  <si>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洗手台镜柜一体L1930mm</t>
  </si>
  <si>
    <t>1、洗手台镜柜一体（1930mm*700mm*2550mm）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</si>
  <si>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更衣柜</t>
  </si>
  <si>
    <t>1、更衣柜（2050mm*600mm*3200mm）
2.包括但不限于制作安装、阻燃板基层、WD-01木饰面
3.含五金配件等
4.包含完成该项内容所有工作及费用并满足设计图纸、规范等要求</t>
  </si>
  <si>
    <t>休息区+过道+电梯厅+艺术过厅</t>
  </si>
  <si>
    <t>墙面湿贴石材ST-03</t>
  </si>
  <si>
    <t>1、墙面湿贴石材ST-03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</si>
  <si>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1、墙面干挂ST-03石材（含不锈钢线条）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</si>
  <si>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墙面干挂ST-03石材（波浪造型）</t>
  </si>
  <si>
    <t>1、墙面干挂ST-03石材（波浪造型，含不锈钢线条）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</si>
  <si>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窗帘盒（120mm*200mm）</t>
  </si>
  <si>
    <t>1.窗帘盒窗帘盒（120mm*200mm）；
2.双层板：9mm玻镁板、9.5厚石膏板；
3.50系列轻钢龙骨及其连接件、吊件；
4.包含完成该项内容所有工作及费用并满足设计图纸、规范等要求；</t>
  </si>
  <si>
    <t>装饰屏风（800mm*100mm*3400mm）</t>
  </si>
  <si>
    <t>1.装饰屏风（800mm*100mm*3400mm）；
2.包括但不限于制作安装、钢结构骨架、阻燃板基层、WD-02木饰面、1.2mm厚 MT-01古铜不锈钢、MT-04手敲铜不锈钢；
3.包含完成该项内容所有工作及费用并满足设计图纸、规范等要求</t>
  </si>
  <si>
    <t>1、水吧柜（Lmm*800mm*900mm）
2.包括但不限于制作安装、钢结构骨架、石材及石材防污处理、阻燃板基层、ST-04石材台面、WD-03木饰面；
3.含合页等五金配件、相应的线孔洞开设
4.包含完成该项内容所有工作及费用并满足设计图纸、规范等要求</t>
  </si>
  <si>
    <t>水吧收纳柜</t>
  </si>
  <si>
    <t>1、收纳柜（940mm*800mm*2600mm）
2.包括但不限于制作安装、阻燃板基层、WD-03木饰面
3.含五金配件等
4.包含完成该项内容所有工作及费用并满足设计图纸、规范等要求</t>
  </si>
  <si>
    <t>新建钢架+玻镁板隔墙</t>
  </si>
  <si>
    <t>1、新建钢架+玻镁板隔墙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</si>
  <si>
    <t>合计</t>
  </si>
  <si>
    <t>墙面工程</t>
  </si>
  <si>
    <t>墙面湿贴石材ST-04</t>
  </si>
  <si>
    <t>1、墙面湿贴石材ST-04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</si>
  <si>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1、1.2mm厚 MT-01古铜不锈钢饰面(结构胶固定)
2、9厘玻镁板基层
3、包含完成该项内容所有工作及费用并满足设计图纸、规范等要求</t>
  </si>
  <si>
    <t>墙面WD-09摩素板</t>
  </si>
  <si>
    <t>1、墙面WD-09摩素板(结构胶固定)
2、12厘玻镁板基层
3、膨胀螺栓、轻钢龙骨(钢结构)基层找平
4、包含完成该项内容所有工作及费用并满足设计图纸、规范等要求</t>
  </si>
  <si>
    <t>MT-01古铜不锈钢踢脚线（高50mm）</t>
  </si>
  <si>
    <t>1、1.2mm厚 MT-01古铜不锈钢踢脚线（高50mm，展开面为67mm），结构胶固定
2、9厘玻镁板基层
3、包含完成该项内容所有工作及费用并满足设计图纸、规范等要求</t>
  </si>
  <si>
    <t>MT-01古铜不锈钢线条（展开面为67mm）</t>
  </si>
  <si>
    <t>1、1.2mm厚 MT-01古铜不锈钢线条（展开面为67mm），结构胶固定
2、9厘玻镁板基层
3、包含完成该项内容所有工作及费用并满足设计图纸、规范等要求</t>
  </si>
  <si>
    <t>MT-01古铜不锈钢线条（展开面为37mm）</t>
  </si>
  <si>
    <t>1、1.2mm厚 MT-01古铜不锈钢线条（展开面为37mm），结构胶固定
2、9厘玻镁板基层
3、包含完成该项内容所有工作及费用并满足设计图纸、规范等要求</t>
  </si>
  <si>
    <t>MT-01古铜不锈钢收口条（展开面为26mm）</t>
  </si>
  <si>
    <t>1、1.2mm厚 MT-01古铜不锈钢收口条（展开面为26mm），结构胶固定
2、9厘玻镁板基层
3、包含完成该项内容所有工作及费用并满足设计图纸、规范等要求</t>
  </si>
  <si>
    <t>灯槽（135mm*100mm）</t>
  </si>
  <si>
    <t>1.灯槽（135mm*100mm）；
2.双层板：9mm玻镁板、9.5厚石膏板；
3.包含完成该项内容所有工作及费用并满足设计图纸、规范等要求；</t>
  </si>
  <si>
    <t>条形空调风口（80mm）</t>
  </si>
  <si>
    <t>1.条形空调风口（80mm）；
2.风口周边阻燃板封边加固处理；
3.包含完成该项内容所有工作及费用并满足设计图纸、规范等要求；</t>
  </si>
  <si>
    <t>MT-06深色不锈钢线条</t>
  </si>
  <si>
    <t>1、MT-06深色不锈钢线条（宽为40mm），结构胶固定
2、9厘玻镁板基层
3、包含完成该项内容所有工作及费用并满足设计图纸、规范等要求</t>
  </si>
  <si>
    <t>电梯扶手</t>
  </si>
  <si>
    <t>1、ST-04石材、古铜不锈钢、UP-01皮革
2、定制成品扶手制安
3、包含完成该项内容所有工作及费用并满足设计图纸、规范等要求</t>
  </si>
  <si>
    <t>无障碍电梯轿厢</t>
  </si>
  <si>
    <t>负一层</t>
  </si>
  <si>
    <t>一单元合用前室</t>
  </si>
  <si>
    <t>MT-01古铜不锈钢线条（展开面为51mm）</t>
  </si>
  <si>
    <t>1、1.2mm厚 MT-01古铜不锈钢线条（展开面为51mm），结构胶固定
2、9厘玻镁板基层
3、包含完成该项内容所有工作及费用并满足设计图纸、规范等要求</t>
  </si>
  <si>
    <t>灯槽（100mm*250mm）</t>
  </si>
  <si>
    <t>1.灯槽（100mm*250mm）；
2.双层板：9mm玻镁板、9.5厚石膏板；
3.包含完成该项内容所有工作及费用并满足设计图纸、规范等要求；</t>
  </si>
  <si>
    <t>二单元合用前室</t>
  </si>
  <si>
    <t>三单元合用前室</t>
  </si>
  <si>
    <t>四单元合用前室</t>
  </si>
  <si>
    <t>负二层</t>
  </si>
  <si>
    <t>负三层</t>
  </si>
  <si>
    <t>工程清单与计价表</t>
  </si>
  <si>
    <t>项目特征描述</t>
  </si>
  <si>
    <t>计量
单位</t>
  </si>
  <si>
    <t>管理费、利润及规费</t>
  </si>
  <si>
    <t>不含税综合单价
（元）</t>
  </si>
  <si>
    <t>不含税合价（元）</t>
  </si>
  <si>
    <t>电气工程</t>
  </si>
  <si>
    <t>（1）会所</t>
  </si>
  <si>
    <t>D13m 可调深藏射灯</t>
  </si>
  <si>
    <t>1.名称:D13m 可调深藏射灯
2.规格：功率：9W、流明量：756lm；63lm/W、色温：3500K、光速角：24°
3.其他:包含完成该项内容所有工作及费用并满足设计图纸、规范等要求</t>
  </si>
  <si>
    <t>品牌：三雄灵动</t>
  </si>
  <si>
    <t>D13f 可调深藏射灯</t>
  </si>
  <si>
    <t>1.名称:D13f 可调深藏射灯
2.规格：功率：9W、流明量：594lm；63lm/W、色温：3500K、光速角：36°
3.其他:包含完成该项内容所有工作及费用并满足设计图纸、规范等要求</t>
  </si>
  <si>
    <t>D14m 可调深藏射灯</t>
  </si>
  <si>
    <t>1.名称:D14m 可调深藏射灯
2.规格：功率：12W、流明量：756lm；63lm/W、色温：3500K、光速角：24°
3.其他:包含完成该项内容所有工作及费用并满足设计图纸、规范等要求</t>
  </si>
  <si>
    <t>D14f 可调深藏射灯</t>
  </si>
  <si>
    <t>1.名称:D14f 可调深藏射灯
2.规格：功率：12W、流明量：792lm；66lm/W、色温：3500K、光速角：36°
3.其他:包含完成该项内容所有工作及费用并满足设计图纸、规范等要求</t>
  </si>
  <si>
    <t>D15m 可调深藏射灯</t>
  </si>
  <si>
    <t>1.名称:D15m 可调深藏射灯
2.规格：功率：15W、流明量：951lm；65lm/W、色温：3500K、光速角：24°
3.其他:包含完成该项内容所有工作及费用并满足设计图纸、规范等要求</t>
  </si>
  <si>
    <t>D15f 可调深藏射灯</t>
  </si>
  <si>
    <t>1.名称:D15f 可调深藏射灯
2.规格：功率：15W、流明量：970lm；67lm/W、色温：3500K、光速角：36°
3.其他:包含完成该项内容所有工作及费用并满足设计图纸、规范等要求</t>
  </si>
  <si>
    <t>D17m 可调深藏射灯</t>
  </si>
  <si>
    <t>1.名称:D17m 可调深藏射灯
2.规格：功率：24W、流明量：1802lm；77lm/W、色温：3500K、光速角：24°
3.其他:包含完成该项内容所有工作及费用并满足设计图纸、规范等要求</t>
  </si>
  <si>
    <t>Gs15f 方形下照深藏射灯</t>
  </si>
  <si>
    <t>1.名称:Gs15f 方形下照深藏射灯
2.规格：功率：9W、流明量：603lm；67lm/W、色温：3500K、光速角：36°
3.其他:包含完成该项内容所有工作及费用并满足设计图纸、规范等要求</t>
  </si>
  <si>
    <t>Mr15n 下照迷你格栅灯</t>
  </si>
  <si>
    <t>1.名称:Mr15n 下照迷你格栅灯
2.规格：功率：10*2W、流明量：1400lm；70lm/W、色温：3500K、光速角：15°
3.其他:包含完成该项内容所有工作及费用并满足设计图纸、规范等要求</t>
  </si>
  <si>
    <t>Mr15m 下照迷你格栅灯</t>
  </si>
  <si>
    <t>1.名称:Mr15m 下照迷你格栅灯
2.规格：功率：10*2W、流明量：1360lm；68lm/W、色温：3500K、光速角：24°
3.其他:包含完成该项内容所有工作及费用并满足设计图纸、规范等要求</t>
  </si>
  <si>
    <t>Mr15f 下照迷你格栅灯</t>
  </si>
  <si>
    <t>1.名称:Mr15f 下照迷你格栅灯
2.规格：功率：10*2W、流明量：1360lm；68lm/W、色温：3500K、光速角：36°
3.其他:包含完成该项内容所有工作及费用并满足设计图纸、规范等要求</t>
  </si>
  <si>
    <t>Md15m 可调迷你格栅灯</t>
  </si>
  <si>
    <t>1.名称:Md15m 可调迷你格栅灯
2.规格：功率：10*2W、流明量：1360lm；68lm/W、色温：3500K、光速角：36°
3.其他:包含完成该项内容所有工作及费用并满足设计图纸、规范等要求</t>
  </si>
  <si>
    <t>Ug10 可调深藏射灯</t>
  </si>
  <si>
    <t>1.名称:Ug10 可调深藏射灯
2.规格：功率：3W、流明量：139lm；48lm/W、色温：3500K、光速角：24°
3.其他:包含完成该项内容所有工作及费用并满足设计图纸、规范等要求</t>
  </si>
  <si>
    <t>Ug11 埋地灯</t>
  </si>
  <si>
    <t>1.名称:Ug11 埋地灯
2.规格：功率：8W、流明量：600lm；75lm/W、色温：3500K、光速角：20°
3.其他:包含完成该项内容所有工作及费用并满足设计图纸、规范等要求</t>
  </si>
  <si>
    <t>P1 LED吸顶灯</t>
  </si>
  <si>
    <t>1.名称:P1 LED吸顶灯
2.规格：功率：18W、流明量：1350lm；70lm/W、色温：3500K
3.其他:包含完成该项内容所有工作及费用并满足设计图纸、规范等要求</t>
  </si>
  <si>
    <t>Da34m 可调深藏射灯</t>
  </si>
  <si>
    <t>1.名称:Da34m 可调深藏射灯
2.规格：功率：9W、流明量：485lm；53lm/W、色温：3000K、光速角：15°
3.其他:包含完成该项内容所有工作及费用并满足设计图纸、规范等要求</t>
  </si>
  <si>
    <t>D34m 可调深藏射灯</t>
  </si>
  <si>
    <t>1.名称:D34m 可调深藏射灯
2.规格：功率：9W、流明量：550lm；60lm/W、色温：3000K、光速角：24°
3.其他:包含完成该项内容所有工作及费用并满足设计图纸、规范等要求</t>
  </si>
  <si>
    <t>D34f 可调深藏射灯</t>
  </si>
  <si>
    <t>1.名称:D34f 可调深藏射灯
2.规格：功率：9W、流明量：550lm；60lm/W、色温：3000K、光速角：36°
3.其他:包含完成该项内容所有工作及费用并满足设计图纸、规范等要求</t>
  </si>
  <si>
    <t>D35m 可调深藏射灯</t>
  </si>
  <si>
    <t>1.名称:D35m 可调深藏射灯
2.规格：功率：15W、流明量：994lm；68lm/W、色温：3000K、光速角：24°
3.其他:包含完成该项内容所有工作及费用并满足设计图纸、规范等要求</t>
  </si>
  <si>
    <t>D35f 可调深藏射灯</t>
  </si>
  <si>
    <t>1.名称:D35f 可调深藏射灯
2.规格：功率：15W、流明量：1003lm；69lm/W、色温：3000K、光速角：36°
3.其他:包含完成该项内容所有工作及费用并满足设计图纸、规范等要求</t>
  </si>
  <si>
    <t>Mr35m 下照迷你格栅灯</t>
  </si>
  <si>
    <t>1.名称:Mr35m 下照迷你格栅灯
2.规格：功率：10*2W、流明量：1260lm；63lm/W、色温：3000K、光速角：24°
3.其他:包含完成该项内容所有工作及费用并满足设计图纸、规范等要求</t>
  </si>
  <si>
    <t>Md35m 可调迷你格栅灯（黑色）</t>
  </si>
  <si>
    <t>1.名称:Md35m 可调迷你格栅灯（黑色）
2.规格：功率：10*2W、流明量：1360lm；68lm/W、色温：3000K、光速角：36°
3.其他:包含完成该项内容所有工作及费用并满足设计图纸、规范等要求</t>
  </si>
  <si>
    <t>Wi12 线性洗墙灯</t>
  </si>
  <si>
    <t>1.名称:Wi12 线性洗墙灯
2.规格：功率：26W/M、流明量：1845lm/M、色温：3500K、光速角：20°
3.含外置电源驱动
4.其他:包含完成该项内容所有工作及费用并满足设计图纸、规范等要求</t>
  </si>
  <si>
    <t>Rm10 LED透光模组灯</t>
  </si>
  <si>
    <t>1.名称:Rm10 LED透光模组灯
2.规格：功率：80W、流明量：5500lm；80lm/W、色温：3500K、光速角：170°
3.含外置电源驱动
4.其他:包含完成该项内容所有工作及费用并满足设计图纸、规范等要求</t>
  </si>
  <si>
    <t>Rm10D LED透光模组灯（调光）</t>
  </si>
  <si>
    <t>1.名称:Rm10D LED透光模组灯（调光）
2.规格：功率：80W、流明量：5500lm；80lm/W、色温：2700K-6500K、光速角：170°
3.含外置电源驱动
4.其他:包含完成该项内容所有工作及费用并满足设计图纸、规范等要求</t>
  </si>
  <si>
    <t>Ls12-LED硬灯条</t>
  </si>
  <si>
    <t>1.名称:Ls12-LED硬灯条
2.规格：功率：14W/M、流明量：1260lm/M；90lm/W、色温：3500K、光速角：120°
3.含外置电源驱动
4.其他:包含完成该项内容所有工作及费用并满足设计图纸、规范等要求</t>
  </si>
  <si>
    <t>Lc10-LED侧弯灯带</t>
  </si>
  <si>
    <t>1.名称:Lc10-LED侧弯灯带
2.规格：功率：4W/M、流明量：320lm/M；80lm/W、色温：3500K、光速角：120°
3.含外置电源驱动
4.其他:包含完成该项内容所有工作及费用并满足设计图纸、规范等要求</t>
  </si>
  <si>
    <t>Lc12-LED侧弯灯带</t>
  </si>
  <si>
    <t>1.名称:Lc12-LED侧弯灯带
2.规格：功率：14W/M、流明量：1260lm/M；90lm/W、色温：3500K、光速角：120°
3.含外置电源驱动
4.其他:包含完成该项内容所有工作及费用并满足设计图纸、规范等要求</t>
  </si>
  <si>
    <t>Lc12a-LED20mm宽侧弯灯带</t>
  </si>
  <si>
    <t>1.名称:Lc12a-LED20mm宽侧弯灯带
2.规格：功率：14W/M、流明量：1260lm/M；90lm/W、色温：3500K、光速角：120°
3.含外置电源驱动
4.其他:包含完成该项内容所有工作及费用并满足设计图纸、规范等要求</t>
  </si>
  <si>
    <t>Lr12-LED正弯灯带</t>
  </si>
  <si>
    <t>1.名称:Lr12-LED正弯灯带
2.规格：功率：14W/M、流明量：1260lm/M；90lm/W、色温：3500K、光速角：120°
3.含外置电源驱动
4.其他:包含完成该项内容所有工作及费用并满足设计图纸、规范等要求</t>
  </si>
  <si>
    <t>品牌：三雄</t>
  </si>
  <si>
    <t>Lb10-LED地埋洗墙灯</t>
  </si>
  <si>
    <t>1.名称:Lb10-LED地埋洗墙灯
2.规格：功率：20W/M、流明量：90lm/W、色温：3500K、光速角：50°
3.含外置电源驱动
4.其他:包含完成该项内容所有工作及费用并满足设计图纸、规范等要求</t>
  </si>
  <si>
    <t>Lb13-LED地埋洗墙灯</t>
  </si>
  <si>
    <t>1.名称:Lb13-LED地埋洗墙灯
2.规格：功率：20W/M、流明量：90lm/W、色温：3500K、光速角：30°
3.含外置电源驱动
4.其他:包含完成该项内容所有工作及费用并满足设计图纸、规范等要求</t>
  </si>
  <si>
    <t>Ls32-LED硬灯条</t>
  </si>
  <si>
    <t>1.名称:Ls32-LED硬灯条
2.规格：功率：14W/M、流明量：1260lm/M；90lm/W、色温：3000K、光速角：120°
3.含外置电源驱动
4.其他:包含完成该项内容所有工作及费用并满足设计图纸、规范等要求</t>
  </si>
  <si>
    <t>Lc32-ED侧弯灯带</t>
  </si>
  <si>
    <t>1.名称:Lc32-ED侧弯灯带
2.规格：功率：14W/M、流明量：1260lm/M；90lm/W、色温：3000K、光速角：120°
3.含外置电源驱动
4.其他:包含完成该项内容所有工作及费用并满足设计图纸、规范等要求</t>
  </si>
  <si>
    <t>Lb1-拉绳灯</t>
  </si>
  <si>
    <t>1.名称:Lb1-拉绳灯
2.规格：功率：10W/M、色温：3500K、光速角：120°
3.其他:包含完成该项内容所有工作及费用并满足设计图纸、规范等要求</t>
  </si>
  <si>
    <t>单联单控暗开关</t>
  </si>
  <si>
    <t>1.名称：单联单控暗开关
2.规格：86*86mm 颜色：曜岩灰
3.其他：包含完成该项内容所有工作及费用并满足设计图纸、规范等要求;</t>
  </si>
  <si>
    <t>个</t>
  </si>
  <si>
    <t>品牌：罗格朗画采系列</t>
  </si>
  <si>
    <t>双联单控暗开关</t>
  </si>
  <si>
    <t>1.名称：双联单控暗开关
2.规格：86*86mm 颜色：曜岩灰
3.其他：包含完成该项内容所有工作及费用并满足设计图纸、规范等要求;</t>
  </si>
  <si>
    <t>三联单控暗开关</t>
  </si>
  <si>
    <t>1.名称：三联单控暗开关
2.规格：86*86mm 颜色：曜岩灰
3.其他：包含完成该项内容所有工作及费用并满足设计图纸、规范等要求;</t>
  </si>
  <si>
    <t>五孔插座</t>
  </si>
  <si>
    <t>1.名称：五孔插座
2.规格：86*86mm 颜色：曜岩灰
3.其他：包含完成该项内容所有工作及费用并满足设计图纸、规范等要求;</t>
  </si>
  <si>
    <t>五孔地面插座</t>
  </si>
  <si>
    <t>1.名称：五孔地面插座
2.规格：86*86mm 颜色：曜岩灰
3.其他：包含完成该项内容所有工作及费用并满足设计图纸、规范等要求;</t>
  </si>
  <si>
    <t>五孔防溅插座</t>
  </si>
  <si>
    <t>1.名称：五孔防溅插座
2.规格：86*86mm 颜色：曜岩灰
3.其他：包含完成该项内容所有工作及费用并满足设计图纸、规范等要求;</t>
  </si>
  <si>
    <t>接线盒</t>
  </si>
  <si>
    <t>1.名称：接线盒
2.包含完成该项内容所有工作及费用并满足设计图纸、规范等要求;</t>
  </si>
  <si>
    <t>金属桥架 200*100</t>
  </si>
  <si>
    <t>1.型号、规格:金属桥架（含配件）
2.材质:200*100
3.其他:包含桥架支架制作、安装、除锈、刷油
4.其他:含配件及盖板、线槽接地
5.主材厚度：满足设计及规范要求</t>
  </si>
  <si>
    <t>不锈钢线槽 500*200</t>
  </si>
  <si>
    <t>1.型号、规格:不锈钢线槽（含配件）
2.材质:500*200
3.其他:包含桥架支架制作、安装、除锈、刷油
4.其他:含配件及盖板、线槽接地
5.主材厚度：满足设计及规范要求</t>
  </si>
  <si>
    <t>管内穿线 WDZC-BYJ-2.5</t>
  </si>
  <si>
    <t>1.名称：电线
2.型号规格：WDZC-BYJ-2.5
3.配线形式：管内穿线
4.包含接线端子
5.其他：为满足本清单工作所需的其他未描述的工作内容，详见相关规范、招标文件及图纸要求</t>
  </si>
  <si>
    <t>管内穿线 WDZC-BYJ-4</t>
  </si>
  <si>
    <t>1.名称：电线
2.型号规格：WDZC-BYJ-4
3.配线形式：管内穿线
4.包含接线端子
5.其他：为满足本清单工作所需的其他未描述的工作内容，详见相关规范、招标文件及图纸要求</t>
  </si>
  <si>
    <t>管内穿线 WDZC-BYJ-6</t>
  </si>
  <si>
    <t>1.名称：电线
2.型号规格：WDZC-BYJ-6
3.配线形式：管内穿线
4.包含接线端子
5.其他：为满足本清单工作所需的其他未描述的工作内容，详见相关规范、招标文件及图纸要求</t>
  </si>
  <si>
    <t>管内穿线 WDZC-BYJ-10</t>
  </si>
  <si>
    <t>1.名称：电线
2.型号规格：WDZC-BYJ-10
3.配线形式：管内穿线
4.包含接线端子
5.其他：为满足本清单工作所需的其他未描述的工作内容，详见相关规范、招标文件及图纸要求</t>
  </si>
  <si>
    <t>管内穿线 WDZC-BYJ-16</t>
  </si>
  <si>
    <t>1.名称：电线
2.型号规格：WDZC-BYJ-16
3.配线形式：管内穿线
4.包含接线端子
5.其他：为满足本清单工作所需的其他未描述的工作内容，详见相关规范、招标文件及图纸要求</t>
  </si>
  <si>
    <t>线槽配线 WDZC-BYJ-2.5</t>
  </si>
  <si>
    <t>1.名称：电线
2.型号规格：WDZC-BYJ-2.5
3.配线形式：线槽配线
4.包含接线端子
5.其他：为满足本清单工作所需的其他未描述的工作内容，详见相关规范、招标文件及图纸要求</t>
  </si>
  <si>
    <t>线槽配线 WDZC-BYJ-4</t>
  </si>
  <si>
    <t>1.名称：电线
2.型号规格：WDZC-BYJ-4
3.配线形式：线槽配线
4.包含接线端子
5.其他：为满足本清单工作所需的其他未描述的工作内容，详见相关规范、招标文件及图纸要求</t>
  </si>
  <si>
    <t>线槽配线 WDZC-BYJ-6</t>
  </si>
  <si>
    <t>1.名称：电线
2.型号规格：WDZC-BYJ-6
3.配线形式：线槽配线
4.包含接线端子
5.其他：为满足本清单工作所需的其他未描述的工作内容，详见相关规范、招标文件及图纸要求</t>
  </si>
  <si>
    <t>线槽配线 WDZC-BYJ-10</t>
  </si>
  <si>
    <t>1.名称：电线
2.型号规格：WDZC-BYJ-10
3.配线形式：线槽配线
4.包含接线端子
5.其他：为满足本清单工作所需的其他未描述的工作内容，详见相关规范、招标文件及图纸要求</t>
  </si>
  <si>
    <t>线槽配线 WDZC-BYJ-16</t>
  </si>
  <si>
    <t>1.名称：电线
2.型号规格：WDZC-BYJ-16
3.配线形式：线槽配线
4.包含接线端子
5.其他：为满足本清单工作所需的其他未描述的工作内容，详见相关规范、招标文件及图纸要求</t>
  </si>
  <si>
    <t>电力电缆 WDZC-YJY-4*25+1*16</t>
  </si>
  <si>
    <t>1.型号:电力电缆 5芯内
2.规格:WDZC-YJY-4*25+1*16
3.敷设方式:线槽及管内
4.其他:含电缆头制作安装（电缆头形式综合考虑）</t>
  </si>
  <si>
    <t>明配管 JDG20</t>
  </si>
  <si>
    <t>1.材质：镀锌电线管
2.规格：JDG20 明配
3.其他：为满足本清单工作所需的其他未描述的工作内容，详见相关规范、招标文件及图纸要求</t>
  </si>
  <si>
    <t>明配管 JDG25</t>
  </si>
  <si>
    <t>1.材质：镀锌电线管
2.规格：JDG25 明配
3.其他：为满足本清单工作所需的其他未描述的工作内容，详见相关规范、招标文件及图纸要求</t>
  </si>
  <si>
    <t>明配管 JDG32</t>
  </si>
  <si>
    <t>1.材质：镀锌电线管
2.规格：JDG32 明配
3.其他：为满足本清单工作所需的其他未描述的工作内容，详见相关规范、招标文件及图纸要求</t>
  </si>
  <si>
    <t>明配管 JDG40</t>
  </si>
  <si>
    <t>1.材质：镀锌电线管
2.规格：JDG40 明配
3.其他：为满足本清单工作所需的其他未描述的工作内容，详见相关规范、招标文件及图纸要求</t>
  </si>
  <si>
    <t>明配管 SC50</t>
  </si>
  <si>
    <t>1.材质：镀锌钢管
2.规格：SC50 明配
3.其他：为满足本清单工作所需的其他未描述的工作内容，详见相关规范、招标文件及图纸要求</t>
  </si>
  <si>
    <t>暗配管 PC20</t>
  </si>
  <si>
    <t>1.名称:刚性阻燃管
2.材质:塑料
3.规格:PC20
4.配置形式:暗配</t>
  </si>
  <si>
    <t>暗配管 PC25</t>
  </si>
  <si>
    <t>1.名称:刚性阻燃管
2.材质:塑料
3.规格:PC25
4.配置形式:暗配</t>
  </si>
  <si>
    <t>金属软管 DN20</t>
  </si>
  <si>
    <t>1.材质：金属软管
2.规格：DN20
3.其他：为满足本清单工作所需的其他未描述的工作内容，详见相关规范、招标文件及图纸要求</t>
  </si>
  <si>
    <t>砖墙凿槽及修复</t>
  </si>
  <si>
    <t>1.名称:凿槽及修补
2.规格:70mm×70mm
3.类型:砖结构
4.填充(恢复)方式:水泥砂浆修补</t>
  </si>
  <si>
    <t>混凝土凿槽及修复</t>
  </si>
  <si>
    <t>1.名称:凿槽及修补
2.规格:70mm×70mm
3.类型:混凝土结构
4.填充(恢复)方式:水泥砂浆修补</t>
  </si>
  <si>
    <t>热水器 200L</t>
  </si>
  <si>
    <t>1.名称：热水器 200L
2.规格：200L 600*640*1691mm
3.热水器安装，包括角阀、不锈钢软管等所需材料
4.其他:包含完成该项内容所有工作及费用并满足设计图纸、规范等要求</t>
  </si>
  <si>
    <t>品牌：能率GQ-2637</t>
  </si>
  <si>
    <t>小厨宝</t>
  </si>
  <si>
    <t>1.名称：小厨宝
2.小厨宝安装，包括角阀、不锈钢软管等所需材料
3.包含完成该项内容所有工作及费用并满足设计图纸、规范等要求</t>
  </si>
  <si>
    <t>品牌：美的A15L</t>
  </si>
  <si>
    <t>冰箱</t>
  </si>
  <si>
    <t>1.名称：冰箱
2.包含完成该项内容所有工作及费用并满足设计图纸、规范等要求</t>
  </si>
  <si>
    <t>品牌：美的503</t>
  </si>
  <si>
    <t>自助售卖机</t>
  </si>
  <si>
    <t>1.名称：自助售卖机
2.规格：750*780*1830
3.包含完成该项内容所有工作及费用并满足设计图纸、规范等要求</t>
  </si>
  <si>
    <t>品牌：美智</t>
  </si>
  <si>
    <t>（2）标准层电梯厅</t>
  </si>
  <si>
    <t>（3）地下室大堂</t>
  </si>
  <si>
    <t>（4）电梯轿厢</t>
  </si>
  <si>
    <t>给排水工程</t>
  </si>
  <si>
    <t>1</t>
  </si>
  <si>
    <t>厨用单盆水槽</t>
  </si>
  <si>
    <t>1.名称：厨用单盆水槽
2.水槽安装
3.包含完成该项内容所有工作及费用并满足设计图纸、规范等要求</t>
  </si>
  <si>
    <t xml:space="preserve"> </t>
  </si>
  <si>
    <t>品牌：九牧02375</t>
  </si>
  <si>
    <t>厨用龙头</t>
  </si>
  <si>
    <t>1.名称：厨用龙头
2.龙头安装，包括角阀、不锈钢软管、下水管等所需材料
3.包含完成该项内容所有工作及费用并满足设计图纸、规范等要求</t>
  </si>
  <si>
    <t>品牌：九牧
(可拉)</t>
  </si>
  <si>
    <t>台下盆</t>
  </si>
  <si>
    <t>1.名称：台下盆
2.台盆安装
3.包含完成该项内容所有工作及费用并满足设计图纸、规范等要求</t>
  </si>
  <si>
    <t>品牌：九牧</t>
  </si>
  <si>
    <t>台盆龙头</t>
  </si>
  <si>
    <t>1.名称：台盆龙头
2.台盆龙头安装，包括角阀、不锈钢软管、下水管等所需材料
3.包含完成该项内容所有工作及费用并满足设计图纸、规范等要求</t>
  </si>
  <si>
    <t>智能马桶</t>
  </si>
  <si>
    <t>1.名称：智能马桶
2.智能马桶安装，包括角阀、不锈钢软管、马桶橡胶圈等所需材料
3.包含完成该项内容所有工作及费用并满足设计图纸、规范等要求</t>
  </si>
  <si>
    <t>品牌：九牧S7</t>
  </si>
  <si>
    <t>连体蹲便器</t>
  </si>
  <si>
    <t>1.名称：连体蹲便器
2.蹲便器、水箱安装，包括角阀、不锈钢软管、等所需材料
3.包含完成该项内容所有工作及费用并满足设计图纸、规范等要求</t>
  </si>
  <si>
    <t>品牌：九牧11368</t>
  </si>
  <si>
    <t>感应一体挂式小便器</t>
  </si>
  <si>
    <t>1.名称：感应一体挂式小便器
2.小便器、感应开关安装及其他一切等所需材料
3.包含完成该项内容所有工作及费用并满足设计图纸、规范等要求</t>
  </si>
  <si>
    <t>品牌：九牧J13071</t>
  </si>
  <si>
    <t>拖把池</t>
  </si>
  <si>
    <t>1.名称：拖把池
2.拖把池安装
3.包含完成该项内容所有工作及费用并满足设计图纸、规范等要求</t>
  </si>
  <si>
    <t>用水咀龙头</t>
  </si>
  <si>
    <t>1.名称：用水咀龙头
2.拖把池安装
3.包含完成该项内容所有工作及费用并满足设计图纸、规范等要求</t>
  </si>
  <si>
    <t>淋浴器</t>
  </si>
  <si>
    <t>1.名称：淋浴器
2.淋浴器安装
3.包含完成该项内容所有工作及费用并满足设计图纸、规范等要求</t>
  </si>
  <si>
    <t>品牌：九牧36717</t>
  </si>
  <si>
    <t>地漏</t>
  </si>
  <si>
    <t>1.名称：地漏
2.地漏安装
3.包含完成该项内容所有工作及费用并满足设计图纸、规范等要求</t>
  </si>
  <si>
    <t>三层会所卫生间台下盆</t>
  </si>
  <si>
    <t>1.名称：三层会所卫生间台下盆
2.台盆安装
3.包含完成该项内容所有工作及费用并满足设计图纸、规范等要求</t>
  </si>
  <si>
    <t>冷水管PPR-DN15</t>
  </si>
  <si>
    <t>1.安装部位：室内
2.规格：DN15
3.材质：冷水用PPR(S4系列）
4.连接形式：热熔连接
5.压力试验及吹、洗设计要求：管道冲洗、消毒</t>
  </si>
  <si>
    <t>冷水管PPR-DN20</t>
  </si>
  <si>
    <t>1.安装部位：室内
2.规格：DN20
3.材质：冷水用PPR(S4系列）
4.连接形式：热熔连接
5.压力试验及吹、洗设计要求：管道冲洗、消毒</t>
  </si>
  <si>
    <t>冷水管PPR-DN25</t>
  </si>
  <si>
    <t>1.安装部位：室内
2.规格：DN25
3.材质：冷水用PPR(S4系列）
4.连接形式：热熔连接
5.压力试验及吹、洗设计要求：管道冲洗、消毒</t>
  </si>
  <si>
    <t>冷水管PPR-DN32</t>
  </si>
  <si>
    <t>1.安装部位：室内
2.规格：DN32
3.材质：冷水用PPR(S4系列）
4.连接形式：热熔连接
5.压力试验及吹、洗设计要求：管道冲洗、消毒</t>
  </si>
  <si>
    <t>冷水管PPR-DN50</t>
  </si>
  <si>
    <t>1.安装部位：室内
2.规格：DN50
3.材质：冷水用PPR(S4系列）
4.连接形式：热熔连接
5.压力试验及吹、洗设计要求：管道冲洗、消毒</t>
  </si>
  <si>
    <t>热水管PPR-DN15</t>
  </si>
  <si>
    <t>1.安装部位：室内
2.规格：DN15
3.材质：热水用PPR(S3.2系列）
4.连接形式：热熔连接
5.压力试验及吹、洗设计要求：管道冲洗、消毒</t>
  </si>
  <si>
    <t>热水管PPR-DN20</t>
  </si>
  <si>
    <t>1.安装部位：室内
2.规格：DN20
3.材质：热水用PPR(S3.2系列）
4.连接形式：热熔连接
5.压力试验及吹、洗设计要求：管道冲洗、消毒</t>
  </si>
  <si>
    <t>热水管PPR-DN25</t>
  </si>
  <si>
    <t>1.安装部位：室内
2.规格：DN25
3.材质：热水用PPR(S3.2系列）
4.连接形式：热熔连接
5.压力试验及吹、洗设计要求：管道冲洗、消毒</t>
  </si>
  <si>
    <t>UPVC排水管-DN50</t>
  </si>
  <si>
    <t>1.安装部位：室内
2.规格：DN50
3.材质：UPVC排水管
4.连接形式:粘接连接</t>
  </si>
  <si>
    <t>UPVC排水管-DN75</t>
  </si>
  <si>
    <t>1.安装部位：室内
2.规格：DN75
3.材质：UPVC排水管
5.连接形式:粘接连接</t>
  </si>
  <si>
    <t>UPVC排水管-DN100</t>
  </si>
  <si>
    <t>1.安装部位：室内
2.规格：DN100
3.材质：UPVC排水管
6.连接形式:粘接连接</t>
  </si>
  <si>
    <t>闸阀 DN50</t>
  </si>
  <si>
    <t>1.名称：闸阀
2.规格：DN50
3.材质：铸铁
6.连接形式:螺纹连接</t>
  </si>
  <si>
    <t>消防工程</t>
  </si>
  <si>
    <t>（1）消防水工程</t>
  </si>
  <si>
    <t>喷淋头</t>
  </si>
  <si>
    <t>1．名称：喷淋头
2.规格：DN15
3.其他</t>
  </si>
  <si>
    <t>热浸镀锌钢管 DN25</t>
  </si>
  <si>
    <t>1．安装部位：室内
2．材质、规格：热镀锌钢管DN25
3．连接形式：螺纹连接
4．钢管镀锌设计要求：内外热镀锌
5．压力试验及冲洗设计要求：水压试验，水冲洗</t>
  </si>
  <si>
    <t>热浸镀锌钢管 DN32</t>
  </si>
  <si>
    <t>1．安装部位：室内
2．材质、规格：热镀锌钢管DN32
3．连接形式：螺纹连接
4．钢管镀锌设计要求：内外热镀锌
5．压力试验及冲洗设计要求：水压试验，水冲洗</t>
  </si>
  <si>
    <t>热浸镀锌钢管 DN40</t>
  </si>
  <si>
    <t>1．安装部位：室内
2．材质、规格：热镀锌钢管DN40
3．连接形式：螺纹连接
4．钢管镀锌设计要求：内外热镀锌
5．压力试验及冲洗设计要求：水压试验，水冲洗</t>
  </si>
  <si>
    <t>热浸镀锌钢管 DN50</t>
  </si>
  <si>
    <t>1．安装部位：室内
2．材质、规格：热镀锌钢管DN50
3．连接形式：螺纹连接
4．钢管镀锌设计要求：内外热镀锌
5．压力试验及冲洗设计要求：水压试验，水冲洗</t>
  </si>
  <si>
    <t>热浸镀锌钢管 DN65</t>
  </si>
  <si>
    <t>1．安装部位：室内
2．材质、规格：热镀锌钢管DN65
3．连接形式：螺纹连接
4．钢管镀锌设计要求：内外热镀锌
5．压力试验及冲洗设计要求：水压试验，水冲洗</t>
  </si>
  <si>
    <t>热浸镀锌钢管 DN80</t>
  </si>
  <si>
    <t>1．安装部位：室内
2．材质、规格：热镀锌钢管D80
3．连接形式：螺纹连接
4．钢管镀锌设计要求：内外热镀锌
5．压力试验及冲洗设计要求：水压试验，水冲洗</t>
  </si>
  <si>
    <t>热浸镀锌钢管 DN100</t>
  </si>
  <si>
    <t>1．安装部位：室内
2．材质、规格：热镀锌钢管DN100
3．连接形式：螺纹连接
4．钢管镀锌设计要求：内外热镀锌
5．压力试验及冲洗设计要求：水压试验，水冲洗</t>
  </si>
  <si>
    <t>热浸镀锌钢管 DN150</t>
  </si>
  <si>
    <t>1．安装部位：室内
2．材质、规格：热镀锌钢管DN150
3．连接形式：螺纹连接
4．钢管镀锌设计要求：内外热镀锌
5．压力试验及冲洗设计要求：水压试验，水冲洗</t>
  </si>
  <si>
    <t>（2）消防电工程</t>
  </si>
  <si>
    <t>感烟火灾探测器</t>
  </si>
  <si>
    <t>1.名称：感烟探测器
2.安装：吸顶安装</t>
  </si>
  <si>
    <t>火灾应急广播扬声器</t>
  </si>
  <si>
    <t>1.名称：火灾应急广播扬声器
2.包含完成该项内容所有工作及费用并满足设计图纸、规范等要求</t>
  </si>
  <si>
    <t>火灾声光报警器</t>
  </si>
  <si>
    <t>1.名称：声光报警器
2.包含完成该项内容所有工作及费用并满足设计图纸、规范等要求</t>
  </si>
  <si>
    <t>手动火灾报警按钮（带消防电话插孔）</t>
  </si>
  <si>
    <t>1.名称：带电话插孔手动报警按钮
2.安装：壁装
3.类型：智能型
4.包含完成该项内容所有工作及费用并满足设计图纸、规范等要求</t>
  </si>
  <si>
    <t>智能型消火栓箱按钮</t>
  </si>
  <si>
    <t>1.名称：消火栓按钮
2.安装：消火栓箱内安装
3.类型：智能型</t>
  </si>
  <si>
    <t>火灾显示盘</t>
  </si>
  <si>
    <t>1.名称：火灾显示盘
2.包含完成该项内容所有工作及费用并满足设计图纸、规范等要求</t>
  </si>
  <si>
    <t>区域型火灾报警控制器</t>
  </si>
  <si>
    <t>1.名称：区域型火灾报警控制器
2.包含完成该项内容所有工作及费用并满足设计图纸、规范等要求</t>
  </si>
  <si>
    <t>消防应急广播线WDZN-RYS-B2-2X2.5mm2</t>
  </si>
  <si>
    <t>1.名称：消防应急广播线
2.型号、规格：WDZN-RYS-B2-2X2.5mm2
3.配线部位：管内敷设</t>
  </si>
  <si>
    <t>报警信号二线WDZN-RYS-B2-2X2.5mm2</t>
  </si>
  <si>
    <t>1.名称：报警信号总线
2.型号、规格：WDZN-RYS-B2-2X2.5mm2
3.配线部位：管内敷设</t>
  </si>
  <si>
    <t>消防专用电话线WDZN-RYSP-B2-2X2.5mm2</t>
  </si>
  <si>
    <t>1.名称：消防专用电话线
2.型号、规格：WDZN-RYSP-B2-2X2.5mm2
3.配线部位：管内敷设</t>
  </si>
  <si>
    <t>配管JDG20</t>
  </si>
  <si>
    <t>1.名称：电线保护管
2.材质：
3.规格：JDG20</t>
  </si>
  <si>
    <t>空调工程</t>
  </si>
  <si>
    <t>（1）空调风工程</t>
  </si>
  <si>
    <t>多联外机-SWJ-250</t>
  </si>
  <si>
    <t>1.名称：多联外机-SWJ-250
2.规格型号：设备制冷量：26(KW)；设备制热量：28.5(KW)；设备额定风量：10200M3/H;额定功率:7.1(KW)
3.含基础、减震器
4.本体安装</t>
  </si>
  <si>
    <t>多联外机-SWJ-280</t>
  </si>
  <si>
    <t>1.名称：多联外机-SWJ-280
2.规格型号：设备制冷量：28.5(KW)；设备制热量：31.5(KW)；设备额定风量：10800M3/H;额定功率:8.8(KW)
3.含基础、减震器
4.本体安装</t>
  </si>
  <si>
    <t>多联外机-SWJ-335</t>
  </si>
  <si>
    <t>1.名称：多联外机-SWJ-335
2.规格型号：设备制冷量：33.5(KW)；设备制热量：36(KW)；设备额定风量：10500M3/H;额定功率:9.5
(KW)
3.含基础、减震器
4.本体安装</t>
  </si>
  <si>
    <t>多联外机-SWJ-615</t>
  </si>
  <si>
    <t>1.名称：多联外机-SWJ-615
2.规格型号：设备制冷量：61.5(KW)；设备制热量：69(KW)；设备额定风量：16500M3/H;额定功率:8.8(KW)
3.含基础、减震器
4.本体安装</t>
  </si>
  <si>
    <t>风管机-SNJ-10</t>
  </si>
  <si>
    <t>1.名称：风管机-SNJ-10
2.规格型号：设备制冷量：10(KW)；设备制热量：11.2;(KW)；设备额定风量：1450~780M3/H;额定功率:0.135
(KW)
3.设备支架制作、安装，手工除锈，刷红丹防锈漆2遍、调和漆2遍
4.本体安装</t>
  </si>
  <si>
    <t>风管机-SNJ-112</t>
  </si>
  <si>
    <t>1.名称：风管机-SNJ-112
2.规格型号：设备制冷量：11.2(KW)；设备制热量：12.5(KW)；设备额定风量：1450~750M3/H;额定功率:0.135
(KW)
3.设备支架制作、安装，手工除锈，刷红丹防锈漆2遍、调和漆2遍
4.本体安装</t>
  </si>
  <si>
    <t>风管机-SNJ-22</t>
  </si>
  <si>
    <t>1.名称：风管机-SNJ-22
2.规格型号：设备制冷量：2.2(KW)；设备制热量：2.5(KW)；设备额定风量：450~200M3/H;额定功率:0.025
(KW)
3.设备支架制作、安装，手工除锈，刷红丹防锈漆2遍、调和漆2遍
4.本体安装</t>
  </si>
  <si>
    <t>风管机-SNJ-28</t>
  </si>
  <si>
    <t>1.名称：风管机-SNJ-28
2.规格型号：设备制冷量：2.8(KW)；设备制热量：3.2(KW)；设备额定风量：450~200M3/H;额定功率:0.025
(KW)
3.设备支架制作、安装，手工除锈，刷红丹防锈漆2遍、调和漆2遍
4.本体安装</t>
  </si>
  <si>
    <t>风管机-SNJ-32</t>
  </si>
  <si>
    <t>1.名称：风管机-SNJ-32
2.规格型号：设备制冷量：3.2(KW)；设备制热量：3.6(KW)；设备额定风量：550~240M3/H;额定功率:0.03KW)
3.设备支架制作、安装，手工除锈，刷红丹防锈漆2遍、调和漆2遍
4.本体安装</t>
  </si>
  <si>
    <t>风管机-SNJ-36</t>
  </si>
  <si>
    <t>1.名称：风管机-SNJ-36
2.规格型号：设备制冷量：3.6(KW)；设备制热量：4KW)；设备额定风量：550~240M3/H;额定功率:0.03(KW)
3.设备支架制作、安装，手工除锈，刷红丹防锈漆2遍、调和漆2遍
4.本体安装</t>
  </si>
  <si>
    <t>风管机-SNJ-40</t>
  </si>
  <si>
    <t>1.名称：风管机-SNJ-40
2.规格型号：设备制冷量：4(KW)；设备制热量：4.5KW)；设备额定风量：550~460M3/H;额定功率:0.03(KW)
3.设备支架制作、安装，手工除锈，刷红丹防锈漆2遍、调和漆2遍
4.本体安装</t>
  </si>
  <si>
    <t>风管机-SNJ-45</t>
  </si>
  <si>
    <t>1.名称：风管机-SNJ-45
2.规格型号：设备制冷量：4.5(KW)；设备制热量：5(KW)；设备额定风量：800~460M3/H;额定功率:0.04
(KW)
3.设备支架制作、安装，手工除锈，刷红丹防锈漆2遍、调和漆2遍
4.本体安装</t>
  </si>
  <si>
    <t>风管机-SNJ-50</t>
  </si>
  <si>
    <t>1.名称：风管机-SNJ-50
2.规格型号：设备制冷量：5(KW)；设备制热量：5.6KW)；设备额定风量：800~460M3/H;额定功率:0.04(KW)
3.设备支架制作、安装，手工除锈，刷红丹防锈漆2遍、调和漆2遍
4.本体安装</t>
  </si>
  <si>
    <t>风管机-SNJ-56</t>
  </si>
  <si>
    <t>1.名称：风管机-SNJ-56
2.规格型号：设备制冷量：5.6(KW)；设备制热量：6.3(KW)；设备额定风量：800~460M3/H;额定功率:0.04
(KW)
3.设备支架制作、安装，手工除锈，刷红丹防锈漆2遍、调和漆2遍
4.本体安装</t>
  </si>
  <si>
    <t>风管机-SNJ-63</t>
  </si>
  <si>
    <t>1.名称：风管机-SNJ-63
2.规格型号：设备制冷量：6.3(KW)；设备制热量：7.1(KW)；设备额定风量：1000~630M3/H;额定功率:0.05
(KW)
3.设备支架制作、安装，手工除锈，刷红丹防锈漆2遍、调和漆2遍
4.本体安装</t>
  </si>
  <si>
    <t>风管机-SNJ-71</t>
  </si>
  <si>
    <t>1.名称：风管机-SNJ-71
2.规格型号：设备制冷量：7.1(KW)；设备制热量：8(KW)；设备额定风量：1000~630M3/H;额定功率:0.05
(KW)
3.设备支架制作、安装，手工除锈，刷红丹防锈漆2遍、调和漆2遍
4.本体安装</t>
  </si>
  <si>
    <t>风管机-SNJ-80</t>
  </si>
  <si>
    <t>1.名称：风管机-SNJ-80
2.规格型号：设备制冷量：8(KW)；设备制热量：9(KW)；设备额定风量：1000~630M3/H;额定功率:0.05
(KW)
3.设备支架制作、安装，手工除锈，刷红丹防锈漆2遍、调和漆2遍
4.本体安装</t>
  </si>
  <si>
    <t>一拖一风管机-SNJ-71</t>
  </si>
  <si>
    <t>1.名称：一拖一风管机-SNJ-71
2.规格型号：设备制冷量：7.1(KW)；设备制热量：8(KW)；设备额定风量：1000~630M3/H;额定功率:0.05
(KW)
3.设备支架制作、安装，手工除锈，刷红丹防锈漆2遍、调和漆2遍
4.本体安装</t>
  </si>
  <si>
    <t>一拖一风管机-1.0HP</t>
  </si>
  <si>
    <t>1.名称：一拖一风管机-1.0HP
2.规格型号：设备制冷量：2.5(KW)；设备制热量：3.2(KW)；设备额定风量：870~380M3/H;额定功率:0.98
(KW)
3.设备支架制作、安装，手工除锈，刷红丹防锈漆2遍、调和漆2遍、含外机安装
4.本体安装</t>
  </si>
  <si>
    <t>风管软接头</t>
  </si>
  <si>
    <t>1.材质:帆布
2.形状:矩形
3.本体安装</t>
  </si>
  <si>
    <t>m²</t>
  </si>
  <si>
    <t>空调风管</t>
  </si>
  <si>
    <t>1.名称：镀锌薄钢板矩形风管
2.材质：镀锌钢板
3.形状：矩形
4.规格：长边长(mm) ≤1000
5.板材厚度：δ＝0.75mm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</si>
  <si>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1.名称：镀锌薄钢板矩形风管
2.材质：镀锌钢板
3.形状：矩形
4.规格：长边长(mm) ≤2000
5.板材厚度：δ＝1mm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</si>
  <si>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（2）新风工程</t>
  </si>
  <si>
    <t>全热交换新风换气机-YCH-650</t>
  </si>
  <si>
    <t>1.名称：全热交换新风换气机-YCH-650
2.规格型号：设备额定风量：650/530/420M3/H;额定功率:0.42
(KW)
3.设备支架制作、安装，手工除锈，刷红丹防锈漆2遍、调和漆2遍
4.本体安装</t>
  </si>
  <si>
    <t>全新风多联处理机-SNJ-D224</t>
  </si>
  <si>
    <t>1.名称：全新风多联处理机-SNJ-D224
2.规格型号：设备制冷量：22.4(KW)；设备制热量：13.9;(KW)；设备额定风量：1680M3/H;额定功率:0.16
(KW)
3.设备支架制作、安装，手工除锈，刷红丹防锈漆2遍、调和漆2遍
4.本体安装</t>
  </si>
  <si>
    <t>全新风多联处理机-SNJ-D335</t>
  </si>
  <si>
    <t>1.名称：全新风多联处理机-SNJ-D335
2.规格型号：设备制冷量：33.5(KW)；设备制热量：20.8;(KW)；设备额定风量：2500M3/H;额定功率:0.25
(KW)
3.设备支架制作、安装，手工除锈，刷红丹防锈漆2遍、调和漆2遍
4.本体安装</t>
  </si>
  <si>
    <t>新风外机-SWJ-335</t>
  </si>
  <si>
    <t>1.名称：新风外机-SWJ-335
2.规格型号：设备制冷量：33.5(KW)；设备制热量：37.5(KW)；设备额定风量：11700M3/H;额定功率:8.8(KW)
3.设备支架制作、安装，手工除锈，刷红丹防锈漆2遍、调和漆2遍
4.本体安装</t>
  </si>
  <si>
    <t>新风静压箱</t>
  </si>
  <si>
    <t>1.名称：新风静压箱
2.型号、规格：1000*350*200
3.本体安装</t>
  </si>
  <si>
    <t>塑料新风百叶带阀</t>
  </si>
  <si>
    <t>1.名称：塑料新风百叶带阀
2.型号、规格：Φ160
3.本体安装</t>
  </si>
  <si>
    <t>新风百叶</t>
  </si>
  <si>
    <t>1.名称：新风百叶
2.型号、规格：1200*250
3.本体安装</t>
  </si>
  <si>
    <t>1.名称：新风百叶
2.型号、规格：1000*200
3.本体安装</t>
  </si>
  <si>
    <t>1.名称：新风百叶
2.型号、规格：800*250
3.本体安装</t>
  </si>
  <si>
    <t>新风出风口</t>
  </si>
  <si>
    <t>1.名称：新风出风口
2.型号、规格：Φ160
3.本体安装</t>
  </si>
  <si>
    <t>新风送风口</t>
  </si>
  <si>
    <t>1.名称：新风送风口
2.型号、规格：Φ160
3.本体安装</t>
  </si>
  <si>
    <t>新风风管</t>
  </si>
  <si>
    <t>1.名称：镀锌薄钢板矩形风管
2.材质：镀锌钢板
3.形状：矩形
4.规格：长边长(mm) ≤320
5.板材厚度：δ＝0.5mm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</si>
  <si>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1.名称：镀锌薄钢板矩形风管
2.材质：镀锌钢板
3.形状：矩形
4.规格：长边长(mm) ≤450
5.板材厚度：δ＝0.6mm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</si>
  <si>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（3）排风工程</t>
  </si>
  <si>
    <t>低噪音管道式通风机-EAF-02/03</t>
  </si>
  <si>
    <t>1.名称：低噪音管道式通风机-EAF-02/03
2.规格型号：风量:800M3/H,余压:150PA
3.设备支架制作、安装，手工除锈，刷红丹防锈漆2遍、调和漆2遍
4.本体安装</t>
  </si>
  <si>
    <t>低噪音管道式通风机-EAF-04~06</t>
  </si>
  <si>
    <t>1.名称：低噪音管道式通风机-EAF-04~06
2.规格型号：风量:1200M3/H,余压:180PA
3.设备支架制作、安装，手工除锈，刷红丹防锈漆2遍、调和漆2遍
4.本体安装</t>
  </si>
  <si>
    <t>通风机-EAF-01</t>
  </si>
  <si>
    <t>1.名称：通风机-EAF-01
2.规格型号：设备额定风量：100M3/H;额定功率:0.015
(KW)
3.设备支架制作、安装，手工除锈，刷红丹防锈漆2遍、调和漆2遍
4.本体安装</t>
  </si>
  <si>
    <t>通风机-PF-L1-01,02</t>
  </si>
  <si>
    <t>1.名称：通风机-PF-L1-01,02
2.规格型号：L=1068CMH,H=180PA,N=0.04KW,220V
3.设备支架制作、安装，手工除锈，刷红丹防锈漆2遍、调和漆2遍
4.本体安装</t>
  </si>
  <si>
    <t>通风机-PF-L1-03,04</t>
  </si>
  <si>
    <t>1.名称：通风机-PF-L1-03,04
2.规格型号：L=4318CMH,H=100PA,N=0.25KW,220V
3.设备支架制作、安装，手工除锈，刷红丹防锈漆2遍、调和漆2遍
4.本体安装</t>
  </si>
  <si>
    <t>通风机-PF-L1-05,06</t>
  </si>
  <si>
    <t>1.名称：通风机-PF-L1-05,06
2.规格型号：L=1647CMH,H=84PA,N=0.06KW,220V
3.设备支架制作、安装，手工除锈，刷红丹防锈漆2遍、调和漆2遍
4.本体安装</t>
  </si>
  <si>
    <t>排风静压箱</t>
  </si>
  <si>
    <t>1.名称：排风静压箱
2.型号、规格：500*200*150
3.本体安装</t>
  </si>
  <si>
    <t>单层百叶排风口</t>
  </si>
  <si>
    <t>1.名称：单层百叶排风口
2.型号、规格：250*250
3.本体安装</t>
  </si>
  <si>
    <t>防虫网封堵</t>
  </si>
  <si>
    <t>1.名称：防虫网封堵
2.型号、规格：2000X300
3.本体安装</t>
  </si>
  <si>
    <t>排风百叶</t>
  </si>
  <si>
    <t>1.名称：排风百叶
2.型号、规格：1000*250
3.本体安装</t>
  </si>
  <si>
    <t>1.名称：排风百叶
2.型号、规格：630*250
3.本体安装</t>
  </si>
  <si>
    <t>1.名称：排风百叶
2.型号、规格：400*150
3.本体安装</t>
  </si>
  <si>
    <t>1.名称：排风百叶
2.型号、规格：300*150
3.本体安装</t>
  </si>
  <si>
    <t>1.名称：排风百叶
2.型号、规格：300*120
3.本体安装</t>
  </si>
  <si>
    <t>1.名称：排风百叶
2.型号、规格：250*120
3.本体安装</t>
  </si>
  <si>
    <t>排风风管</t>
  </si>
  <si>
    <t>1.材质:镀锌薄钢板
2.形状:矩形
3.板材厚度:0.5mm
4.综合考虑按图纸和规范要求而实施、完成这项工程的一切有关费用</t>
  </si>
  <si>
    <t>1.材质:镀锌薄钢板
2.形状:矩形
3.板材厚度:0.6mm
4.综合考虑按图纸和规范要求而实施、完成这项工程的一切有关费用</t>
  </si>
  <si>
    <t>1.材质:镀锌薄钢板
2.形状:矩形
3.板材厚度:0.75mm
4.综合考虑按图纸和规范要求而实施、完成这项工程的一切有关费用</t>
  </si>
  <si>
    <t>（4）空调水工程</t>
  </si>
  <si>
    <t>冷媒铜管 28.6</t>
  </si>
  <si>
    <t>1.名称:冷媒铜管
2.规格：φ28.6
3.含保温套管,材质为难燃B1级橡塑保温材料保温，厚度20mm
4.其他:为满足本清单工作所需的其他未描述的工作内容，详见相关规范、招标文件及图纸要求</t>
  </si>
  <si>
    <t>冷媒铜管 22.2</t>
  </si>
  <si>
    <t>1.名称:冷媒铜管
2.规格：φ22.2
3.含保温套管,材质为难燃B1级橡塑保温材料保温，厚度20mm
4.其他:为满足本清单工作所需的其他未描述的工作内容，详见相关规范、招标文件及图纸要求</t>
  </si>
  <si>
    <t>冷媒铜管 19.1</t>
  </si>
  <si>
    <t>1.名称:冷媒铜管
2.规格：φ19.1
3.含保温套管,材质为难燃B1级橡塑保温材料保温，厚度20mm
4.其他:为满足本清单工作所需的其他未描述的工作内容，详见相关规范、招标文件及图纸要求</t>
  </si>
  <si>
    <t>冷媒铜管 15.9</t>
  </si>
  <si>
    <t>1.名称:冷媒铜管
2.规格：φ15.9
3.含保温套管,材质为难燃B1级橡塑保温材料保温，厚度20mm
4.其他:为满足本清单工作所需的其他未描述的工作内容，详见相关规范、招标文件及图纸要求</t>
  </si>
  <si>
    <t>冷媒铜管 12.7</t>
  </si>
  <si>
    <t>1.名称:冷媒铜管
2.规格：φ12.7
3.含保温套管,材质为难燃B1级橡塑保温材料保温，厚度15mm
4.其他:为满足本清单工作所需的其他未描述的工作内容，详见相关规范、招标文件及图纸要求</t>
  </si>
  <si>
    <t>冷媒铜管 9.5</t>
  </si>
  <si>
    <t>1.名称:冷媒铜管
2.规格：φ9.5
3.含保温套管,材质为难燃B1级橡塑保温材料保温，厚度15mm
4.其他:为满足本清单工作所需的其他未描述的工作内容，详见相关规范、招标文件及图纸要求</t>
  </si>
  <si>
    <t>冷媒铜管 6.4</t>
  </si>
  <si>
    <t>1.名称:冷媒铜管
2.规格：φ6.4
3.含保温套管,材质为难燃B1级橡塑保温材料保温，厚度15mm
4.其他:为满足本清单工作所需的其他未描述的工作内容，详见相关规范、招标文件及图纸要求</t>
  </si>
  <si>
    <t>UPVC冷凝水管 DN32</t>
  </si>
  <si>
    <t>1.名称:UPVC冷凝水管
2.规格：DN32
3.连接方式：粘接连接
4.包含弯头、三通等相关接头管件，13mm厚橡塑保温套管
5.本体安装</t>
  </si>
  <si>
    <t>UPVC冷凝水管 DN25</t>
  </si>
  <si>
    <t>1.名称:UPVC冷凝水管
2.规格：DN25
3.连接方式：粘接连接
4.包含弯头、三通等相关接头管件，13mm厚橡塑保温套管
5.本体安装</t>
  </si>
  <si>
    <t>PVC装饰盖管</t>
  </si>
  <si>
    <t>1.名称:PVC装饰盖管
2.含装饰盖
3.本体安装</t>
  </si>
  <si>
    <t>分歧器 FQ01</t>
  </si>
  <si>
    <t>1.名称：分歧器
2.型号、规格：FQ01
3.本体安装</t>
  </si>
  <si>
    <t>分歧器 FQ02</t>
  </si>
  <si>
    <t>1.名称：分歧器
2.型号、规格：FQ02
3.本体安装</t>
  </si>
  <si>
    <t>（5）空调电工程</t>
  </si>
  <si>
    <t>风机控制器</t>
  </si>
  <si>
    <t>1.名称：风机控制器
2.本体安装</t>
  </si>
  <si>
    <t>有线控制器</t>
  </si>
  <si>
    <t>1.名称：有线控制器
2.本体安装</t>
  </si>
  <si>
    <t>室内机手拉手屏蔽线</t>
  </si>
  <si>
    <t>1.名称：室内机手拉手屏蔽线                            
2.型号、规格：RVVP2*1.0
3.本体安装</t>
  </si>
  <si>
    <t>温控器控制线</t>
  </si>
  <si>
    <t>1.名称：室内机手拉手屏蔽线                            
2.型号、规格：RVVP2*0.75
3.本体安装</t>
  </si>
  <si>
    <t>电气配管</t>
  </si>
  <si>
    <t>1.名称：电气配管                      
2.型号、规格：KBG20
3.本体安装</t>
  </si>
  <si>
    <t>凿槽及修复</t>
  </si>
  <si>
    <t>镀锌线槽</t>
  </si>
  <si>
    <t>1.名称：镀锌线槽                  
2.型号、规格：300×150
3.含桥架支架，除锈刷油
4.本体安装</t>
  </si>
  <si>
    <t>增补清单</t>
  </si>
  <si>
    <t>丹田海德公馆公区装修工程-工程量清单</t>
  </si>
  <si>
    <t>垃圾清理及卫生清洁</t>
  </si>
  <si>
    <t>卫生清理、含粗清洁、精清洁（按地面投影面积计算）</t>
  </si>
  <si>
    <t>脚手架费用</t>
  </si>
  <si>
    <t>脚手架费用、包括活动式、满堂式、综合式、单排式（按地面投影面积计算）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</si>
</sst>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2][$RMB]General;[Red][DBNum2][$RMB]General"/>
    <numFmt numFmtId="177" formatCode="0.00_);[Red]\(0.00\)"/>
    <numFmt numFmtId="178" formatCode="#,##0.00_ "/>
    <numFmt numFmtId="179" formatCode="0.00_ "/>
    <numFmt numFmtId="180" formatCode="0.00_ ;[Red]\-0.00\ "/>
    <numFmt numFmtId="181" formatCode="#,##0.00_);[Red]\(#,##0.00\)"/>
  </numFmts>
  <fonts count="66">
    <font>
      <sz val="11"/>
      <color theme="1"/>
      <name val="宋体"/>
      <charset val="134"/>
      <scheme val="minor"/>
    </font>
    <font>
      <sz val="9"/>
      <color indexed="8"/>
      <name val="宋体"/>
      <charset val="134"/>
      <scheme val="major"/>
    </font>
    <font>
      <b/>
      <sz val="10"/>
      <color indexed="8"/>
      <name val="宋体"/>
      <charset val="134"/>
      <scheme val="major"/>
    </font>
    <font>
      <b/>
      <sz val="9"/>
      <name val="宋体"/>
      <charset val="134"/>
      <scheme val="major"/>
    </font>
    <font>
      <b/>
      <sz val="18"/>
      <name val="宋体"/>
      <charset val="134"/>
      <scheme val="major"/>
    </font>
    <font>
      <b/>
      <sz val="10"/>
      <name val="宋体"/>
      <charset val="134"/>
      <scheme val="major"/>
    </font>
    <font>
      <sz val="10"/>
      <color indexed="8"/>
      <name val="宋体"/>
      <charset val="134"/>
      <scheme val="major"/>
    </font>
    <font>
      <sz val="9"/>
      <color theme="1"/>
      <name val="宋体"/>
      <charset val="134"/>
      <scheme val="major"/>
    </font>
    <font>
      <sz val="9"/>
      <color indexed="8"/>
      <name val="宋体"/>
      <charset val="134"/>
    </font>
    <font>
      <sz val="10"/>
      <color indexed="8"/>
      <name val="宋体"/>
      <charset val="134"/>
    </font>
    <font>
      <b/>
      <sz val="16"/>
      <name val="宋体"/>
      <charset val="134"/>
    </font>
    <font>
      <sz val="10"/>
      <color theme="1"/>
      <name val="宋体"/>
      <charset val="134"/>
      <scheme val="minor"/>
    </font>
    <font>
      <b/>
      <sz val="10"/>
      <color indexed="8"/>
      <name val="宋体"/>
      <charset val="134"/>
    </font>
    <font>
      <b/>
      <sz val="9"/>
      <name val="宋体"/>
      <charset val="134"/>
    </font>
    <font>
      <b/>
      <sz val="10"/>
      <name val="宋体"/>
      <charset val="134"/>
      <scheme val="minor"/>
    </font>
    <font>
      <sz val="10"/>
      <color rgb="FF000000"/>
      <name val="宋体"/>
      <charset val="134"/>
    </font>
    <font>
      <b/>
      <sz val="10"/>
      <color rgb="FF000000"/>
      <name val="宋体"/>
      <charset val="134"/>
    </font>
    <font>
      <sz val="9"/>
      <name val="宋体"/>
      <charset val="134"/>
    </font>
    <font>
      <sz val="10"/>
      <name val="宋体"/>
      <charset val="134"/>
    </font>
    <font>
      <sz val="10"/>
      <color indexed="0"/>
      <name val="宋体"/>
      <charset val="134"/>
      <scheme val="major"/>
    </font>
    <font>
      <sz val="10"/>
      <name val="宋体"/>
      <charset val="134"/>
      <scheme val="major"/>
    </font>
    <font>
      <sz val="10"/>
      <color theme="1"/>
      <name val="黑体"/>
      <charset val="134"/>
    </font>
    <font>
      <sz val="10"/>
      <color theme="1"/>
      <name val="黑体"/>
      <charset val="254"/>
    </font>
    <font>
      <sz val="10"/>
      <name val="黑体"/>
      <charset val="134"/>
    </font>
    <font>
      <sz val="10"/>
      <name val="黑体"/>
      <charset val="254"/>
    </font>
    <font>
      <sz val="10"/>
      <color theme="1"/>
      <name val="宋体"/>
      <charset val="134"/>
    </font>
    <font>
      <sz val="9"/>
      <color theme="1"/>
      <name val="宋体"/>
      <charset val="134"/>
    </font>
    <font>
      <b/>
      <sz val="9"/>
      <color indexed="8"/>
      <name val="宋体"/>
      <charset val="134"/>
    </font>
    <font>
      <sz val="9"/>
      <color theme="1"/>
      <name val="黑体"/>
      <charset val="134"/>
    </font>
    <font>
      <sz val="9"/>
      <color rgb="FF000000"/>
      <name val="宋体"/>
      <charset val="134"/>
    </font>
    <font>
      <sz val="10"/>
      <color theme="1"/>
      <name val="宋体"/>
      <charset val="134"/>
      <scheme val="major"/>
    </font>
    <font>
      <sz val="9"/>
      <name val="微软雅黑"/>
      <charset val="134"/>
    </font>
    <font>
      <sz val="10"/>
      <color theme="1"/>
      <name val="SimSun"/>
      <charset val="134"/>
    </font>
    <font>
      <sz val="10"/>
      <color rgb="FF00B050"/>
      <name val="黑体"/>
      <charset val="134"/>
    </font>
    <font>
      <sz val="10"/>
      <color rgb="FF000000"/>
      <name val="宋体"/>
      <charset val="134"/>
      <scheme val="major"/>
    </font>
    <font>
      <sz val="16"/>
      <color indexed="8"/>
      <name val="宋体"/>
      <charset val="134"/>
    </font>
    <font>
      <b/>
      <sz val="18"/>
      <color indexed="8"/>
      <name val="宋体"/>
      <charset val="134"/>
    </font>
    <font>
      <b/>
      <sz val="10"/>
      <name val="宋体"/>
      <charset val="134"/>
    </font>
    <font>
      <sz val="14"/>
      <color indexed="8"/>
      <name val="宋体"/>
      <charset val="134"/>
    </font>
    <font>
      <sz val="18"/>
      <color rgb="FF000000"/>
      <name val="宋体"/>
      <charset val="134"/>
      <scheme val="major"/>
    </font>
    <font>
      <sz val="12"/>
      <color rgb="FF000000"/>
      <name val="宋体"/>
      <charset val="134"/>
      <scheme val="major"/>
    </font>
    <font>
      <sz val="11"/>
      <color rgb="FF000000"/>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color theme="1"/>
      <name val="宋体"/>
      <charset val="134"/>
      <scheme val="minor"/>
    </font>
    <font>
      <sz val="11"/>
      <name val="Times New Roman"/>
      <charset val="0"/>
    </font>
    <font>
      <sz val="12"/>
      <name val="Times New Roman"/>
      <charset val="0"/>
    </font>
    <font>
      <sz val="11"/>
      <color indexed="8"/>
      <name val="宋体"/>
      <charset val="134"/>
    </font>
  </fonts>
  <fills count="37">
    <fill>
      <patternFill patternType="none"/>
    </fill>
    <fill>
      <patternFill patternType="gray125"/>
    </fill>
    <fill>
      <patternFill patternType="solid">
        <fgColor rgb="FFFFC000"/>
        <bgColor indexed="64"/>
      </patternFill>
    </fill>
    <fill>
      <patternFill patternType="solid">
        <fgColor rgb="FFC6EFCE"/>
        <bgColor indexed="64"/>
      </patternFill>
    </fill>
    <fill>
      <patternFill patternType="solid">
        <fgColor rgb="FFFFF2CC"/>
        <bgColor indexed="64"/>
      </patternFill>
    </fill>
    <fill>
      <patternFill patternType="solid">
        <fgColor rgb="FFFFFFFF"/>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2" fillId="0" borderId="0">
      <alignment vertical="center"/>
    </xf>
    <xf numFmtId="0" fontId="43" fillId="0" borderId="0">
      <alignment vertical="center"/>
    </xf>
    <xf numFmtId="0" fontId="0" fillId="7" borderId="9">
      <alignment vertical="center"/>
    </xf>
    <xf numFmtId="0" fontId="44" fillId="0" borderId="0">
      <alignment vertical="center"/>
    </xf>
    <xf numFmtId="0" fontId="45" fillId="0" borderId="0">
      <alignment vertical="center"/>
    </xf>
    <xf numFmtId="0" fontId="46" fillId="0" borderId="0">
      <alignment vertical="center"/>
    </xf>
    <xf numFmtId="0" fontId="47" fillId="0" borderId="10">
      <alignment vertical="center"/>
    </xf>
    <xf numFmtId="0" fontId="48" fillId="0" borderId="10">
      <alignment vertical="center"/>
    </xf>
    <xf numFmtId="0" fontId="49" fillId="0" borderId="11">
      <alignment vertical="center"/>
    </xf>
    <xf numFmtId="0" fontId="49" fillId="0" borderId="0">
      <alignment vertical="center"/>
    </xf>
    <xf numFmtId="0" fontId="50" fillId="8" borderId="12">
      <alignment vertical="center"/>
    </xf>
    <xf numFmtId="0" fontId="51" fillId="9" borderId="13">
      <alignment vertical="center"/>
    </xf>
    <xf numFmtId="0" fontId="52" fillId="9" borderId="12">
      <alignment vertical="center"/>
    </xf>
    <xf numFmtId="0" fontId="53" fillId="10" borderId="14">
      <alignment vertical="center"/>
    </xf>
    <xf numFmtId="0" fontId="54" fillId="0" borderId="15">
      <alignment vertical="center"/>
    </xf>
    <xf numFmtId="0" fontId="55" fillId="0" borderId="16">
      <alignment vertical="center"/>
    </xf>
    <xf numFmtId="0" fontId="56" fillId="3" borderId="0">
      <alignment vertical="center"/>
    </xf>
    <xf numFmtId="0" fontId="57" fillId="11" borderId="0">
      <alignment vertical="center"/>
    </xf>
    <xf numFmtId="0" fontId="58" fillId="12" borderId="0">
      <alignment vertical="center"/>
    </xf>
    <xf numFmtId="0" fontId="59" fillId="13" borderId="0">
      <alignment vertical="center"/>
    </xf>
    <xf numFmtId="0" fontId="60" fillId="14" borderId="0">
      <alignment vertical="center"/>
    </xf>
    <xf numFmtId="0" fontId="60" fillId="15" borderId="0">
      <alignment vertical="center"/>
    </xf>
    <xf numFmtId="0" fontId="59" fillId="16" borderId="0">
      <alignment vertical="center"/>
    </xf>
    <xf numFmtId="0" fontId="59" fillId="17" borderId="0">
      <alignment vertical="center"/>
    </xf>
    <xf numFmtId="0" fontId="60" fillId="18" borderId="0">
      <alignment vertical="center"/>
    </xf>
    <xf numFmtId="0" fontId="60" fillId="19" borderId="0">
      <alignment vertical="center"/>
    </xf>
    <xf numFmtId="0" fontId="59" fillId="20" borderId="0">
      <alignment vertical="center"/>
    </xf>
    <xf numFmtId="0" fontId="59" fillId="21" borderId="0">
      <alignment vertical="center"/>
    </xf>
    <xf numFmtId="0" fontId="60" fillId="22" borderId="0">
      <alignment vertical="center"/>
    </xf>
    <xf numFmtId="0" fontId="60" fillId="23" borderId="0">
      <alignment vertical="center"/>
    </xf>
    <xf numFmtId="0" fontId="59" fillId="24" borderId="0">
      <alignment vertical="center"/>
    </xf>
    <xf numFmtId="0" fontId="59" fillId="25" borderId="0">
      <alignment vertical="center"/>
    </xf>
    <xf numFmtId="0" fontId="60" fillId="26" borderId="0">
      <alignment vertical="center"/>
    </xf>
    <xf numFmtId="0" fontId="60" fillId="27" borderId="0">
      <alignment vertical="center"/>
    </xf>
    <xf numFmtId="0" fontId="59" fillId="28" borderId="0">
      <alignment vertical="center"/>
    </xf>
    <xf numFmtId="0" fontId="59" fillId="29" borderId="0">
      <alignment vertical="center"/>
    </xf>
    <xf numFmtId="0" fontId="60" fillId="30" borderId="0">
      <alignment vertical="center"/>
    </xf>
    <xf numFmtId="0" fontId="60" fillId="31" borderId="0">
      <alignment vertical="center"/>
    </xf>
    <xf numFmtId="0" fontId="59" fillId="32" borderId="0">
      <alignment vertical="center"/>
    </xf>
    <xf numFmtId="0" fontId="59" fillId="33" borderId="0">
      <alignment vertical="center"/>
    </xf>
    <xf numFmtId="0" fontId="60" fillId="34" borderId="0">
      <alignment vertical="center"/>
    </xf>
    <xf numFmtId="0" fontId="60" fillId="35" borderId="0">
      <alignment vertical="center"/>
    </xf>
    <xf numFmtId="0" fontId="59" fillId="36" borderId="0">
      <alignment vertical="center"/>
    </xf>
    <xf numFmtId="0" fontId="61" fillId="0" borderId="0"/>
    <xf numFmtId="0" fontId="62" fillId="0" borderId="0"/>
    <xf numFmtId="0" fontId="63" fillId="0" borderId="0">
      <alignment vertical="center"/>
    </xf>
    <xf numFmtId="0" fontId="0" fillId="0" borderId="0">
      <alignment vertical="center"/>
    </xf>
    <xf numFmtId="176" fontId="64" fillId="0" borderId="0"/>
    <xf numFmtId="0" fontId="61" fillId="0" borderId="0">
      <alignment vertical="center"/>
    </xf>
    <xf numFmtId="0" fontId="61" fillId="0" borderId="0">
      <alignment vertical="center"/>
    </xf>
    <xf numFmtId="0" fontId="8" fillId="0" borderId="0"/>
    <xf numFmtId="0" fontId="27" fillId="0" borderId="0"/>
    <xf numFmtId="0" fontId="8" fillId="0" borderId="0"/>
    <xf numFmtId="0" fontId="65" fillId="0" borderId="0">
      <alignment vertical="center"/>
    </xf>
    <xf numFmtId="0" fontId="61" fillId="0" borderId="0">
      <alignment vertical="center"/>
    </xf>
    <xf numFmtId="0" fontId="61" fillId="0" borderId="0">
      <alignment vertical="center"/>
    </xf>
  </cellStyleXfs>
  <cellXfs count="211">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center" vertical="center" wrapText="1"/>
    </xf>
    <xf numFmtId="0" fontId="1" fillId="0" borderId="0" xfId="0" applyFont="1" applyAlignment="1">
      <alignment horizontal="left" vertical="center" wrapText="1"/>
    </xf>
    <xf numFmtId="177" fontId="1" fillId="0" borderId="0" xfId="0" applyNumberFormat="1" applyFont="1" applyAlignment="1">
      <alignment horizontal="right" vertical="center" wrapText="1"/>
    </xf>
    <xf numFmtId="178" fontId="1" fillId="0" borderId="0" xfId="0" applyNumberFormat="1" applyFont="1" applyAlignment="1">
      <alignment horizontal="right" vertical="center" wrapText="1"/>
    </xf>
    <xf numFmtId="179" fontId="3" fillId="0" borderId="0" xfId="0" applyNumberFormat="1" applyFont="1" applyAlignment="1">
      <alignment horizontal="center" vertical="center"/>
    </xf>
    <xf numFmtId="0" fontId="4" fillId="0" borderId="0" xfId="0" applyFont="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178" fontId="2" fillId="0" borderId="1" xfId="0" applyNumberFormat="1" applyFont="1" applyBorder="1" applyAlignment="1">
      <alignment horizontal="center" vertical="center" wrapText="1"/>
    </xf>
    <xf numFmtId="0" fontId="0" fillId="0" borderId="2" xfId="0" applyBorder="1" applyAlignment="1"/>
    <xf numFmtId="179" fontId="2" fillId="0" borderId="1" xfId="0" applyNumberFormat="1" applyFont="1" applyBorder="1" applyAlignment="1">
      <alignment horizontal="righ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79" fontId="6" fillId="0" borderId="1" xfId="0" applyNumberFormat="1" applyFont="1" applyBorder="1" applyAlignment="1">
      <alignment horizontal="center" vertical="center" wrapText="1"/>
    </xf>
    <xf numFmtId="177"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xf>
    <xf numFmtId="178" fontId="1" fillId="0" borderId="1" xfId="0" applyNumberFormat="1" applyFont="1" applyBorder="1" applyAlignment="1">
      <alignment horizontal="center" vertical="center" wrapText="1"/>
    </xf>
    <xf numFmtId="0" fontId="8" fillId="0" borderId="0" xfId="56"/>
    <xf numFmtId="0" fontId="9" fillId="0" borderId="0" xfId="56" applyFont="1"/>
    <xf numFmtId="0" fontId="6" fillId="0" borderId="0" xfId="56" applyFont="1"/>
    <xf numFmtId="0" fontId="2" fillId="0" borderId="0" xfId="57" applyFont="1"/>
    <xf numFmtId="0" fontId="8" fillId="0" borderId="0" xfId="58" applyAlignment="1">
      <alignment horizontal="center"/>
    </xf>
    <xf numFmtId="0" fontId="8" fillId="0" borderId="0" xfId="58" applyAlignment="1">
      <alignment horizontal="center" vertical="center" wrapText="1"/>
    </xf>
    <xf numFmtId="0" fontId="8" fillId="0" borderId="0" xfId="58"/>
    <xf numFmtId="179" fontId="8" fillId="0" borderId="0" xfId="58" applyNumberFormat="1" applyAlignment="1">
      <alignment horizontal="center"/>
    </xf>
    <xf numFmtId="180" fontId="8" fillId="0" borderId="0" xfId="58" applyNumberFormat="1" applyAlignment="1">
      <alignment horizontal="center" vertical="center"/>
    </xf>
    <xf numFmtId="180" fontId="8" fillId="0" borderId="0" xfId="58" applyNumberFormat="1" applyAlignment="1">
      <alignment horizontal="center"/>
    </xf>
    <xf numFmtId="49" fontId="8" fillId="0" borderId="0" xfId="58" applyNumberFormat="1" applyAlignment="1">
      <alignment horizontal="center"/>
    </xf>
    <xf numFmtId="179" fontId="9" fillId="0" borderId="0" xfId="58" applyNumberFormat="1" applyFont="1" applyAlignment="1">
      <alignment horizontal="center" vertical="center"/>
    </xf>
    <xf numFmtId="179" fontId="8" fillId="0" borderId="0" xfId="58" applyNumberFormat="1" applyAlignment="1">
      <alignment horizontal="center" vertical="center"/>
    </xf>
    <xf numFmtId="0" fontId="10" fillId="0" borderId="3" xfId="56" applyFont="1" applyBorder="1" applyAlignment="1">
      <alignment horizontal="center" vertical="center"/>
    </xf>
    <xf numFmtId="0" fontId="0" fillId="0" borderId="3" xfId="0" applyBorder="1" applyAlignment="1"/>
    <xf numFmtId="179" fontId="9" fillId="0" borderId="0" xfId="56" applyNumberFormat="1" applyFont="1" applyAlignment="1">
      <alignment horizontal="center" vertical="center"/>
    </xf>
    <xf numFmtId="179" fontId="9" fillId="0" borderId="1" xfId="56" applyNumberFormat="1" applyFont="1" applyBorder="1" applyAlignment="1">
      <alignment horizontal="center" vertical="center"/>
    </xf>
    <xf numFmtId="179" fontId="11" fillId="0" borderId="1" xfId="0" applyNumberFormat="1" applyFont="1" applyBorder="1" applyAlignment="1">
      <alignment horizontal="center" vertical="center"/>
    </xf>
    <xf numFmtId="179" fontId="6" fillId="0" borderId="1" xfId="0" applyNumberFormat="1" applyFont="1" applyBorder="1" applyAlignment="1">
      <alignment horizontal="center" vertical="center"/>
    </xf>
    <xf numFmtId="179" fontId="8" fillId="0" borderId="0" xfId="56" applyNumberFormat="1" applyAlignment="1">
      <alignment horizontal="center" vertical="center"/>
    </xf>
    <xf numFmtId="0" fontId="12" fillId="0" borderId="1" xfId="0" applyFont="1" applyBorder="1" applyAlignment="1">
      <alignment horizontal="center" vertical="center" wrapText="1"/>
    </xf>
    <xf numFmtId="179" fontId="12" fillId="0" borderId="1" xfId="0" applyNumberFormat="1" applyFont="1" applyBorder="1" applyAlignment="1">
      <alignment horizontal="center" vertical="center" wrapText="1"/>
    </xf>
    <xf numFmtId="180" fontId="13" fillId="0" borderId="1" xfId="0" applyNumberFormat="1" applyFont="1" applyBorder="1" applyAlignment="1">
      <alignment horizontal="center" vertical="center" wrapText="1"/>
    </xf>
    <xf numFmtId="180" fontId="12" fillId="0" borderId="1" xfId="0" applyNumberFormat="1" applyFont="1" applyBorder="1" applyAlignment="1">
      <alignment horizontal="center" vertical="center" wrapText="1"/>
    </xf>
    <xf numFmtId="179" fontId="14" fillId="0" borderId="1" xfId="0" applyNumberFormat="1" applyFont="1" applyBorder="1" applyAlignment="1">
      <alignment horizontal="center" vertical="center"/>
    </xf>
    <xf numFmtId="9" fontId="0" fillId="0" borderId="0" xfId="3" applyNumberFormat="1" applyAlignment="1">
      <alignment horizontal="center" vertical="center"/>
    </xf>
    <xf numFmtId="179" fontId="14" fillId="0" borderId="1" xfId="0" applyNumberFormat="1" applyFont="1" applyBorder="1" applyAlignment="1">
      <alignment horizontal="center" vertical="center" wrapText="1"/>
    </xf>
    <xf numFmtId="49" fontId="15" fillId="0" borderId="1" xfId="0" applyNumberFormat="1" applyFont="1" applyBorder="1" applyAlignment="1">
      <alignment horizontal="centerContinuous" vertical="center" wrapText="1"/>
    </xf>
    <xf numFmtId="0" fontId="16" fillId="0" borderId="1" xfId="0" applyFont="1" applyBorder="1" applyAlignment="1">
      <alignment horizontal="center" vertical="center" wrapText="1"/>
    </xf>
    <xf numFmtId="0" fontId="17" fillId="0" borderId="1" xfId="59" applyFont="1" applyBorder="1" applyAlignment="1">
      <alignment horizontal="left" vertical="center" wrapText="1"/>
    </xf>
    <xf numFmtId="0" fontId="15" fillId="0" borderId="1" xfId="0" applyFont="1" applyBorder="1" applyAlignment="1">
      <alignment horizontal="center" vertical="center" wrapText="1"/>
    </xf>
    <xf numFmtId="179" fontId="15" fillId="0" borderId="1" xfId="0" applyNumberFormat="1" applyFont="1" applyBorder="1" applyAlignment="1">
      <alignment horizontal="center" vertical="center" wrapText="1"/>
    </xf>
    <xf numFmtId="180" fontId="15" fillId="0" borderId="1" xfId="0" applyNumberFormat="1" applyFont="1" applyBorder="1" applyAlignment="1" applyProtection="1">
      <alignment horizontal="center" vertical="center" wrapText="1"/>
      <protection locked="0"/>
    </xf>
    <xf numFmtId="0" fontId="6" fillId="0" borderId="1" xfId="56" applyFont="1" applyBorder="1" applyAlignment="1">
      <alignment horizontal="center" vertical="center"/>
    </xf>
    <xf numFmtId="181" fontId="18" fillId="0" borderId="1" xfId="0" applyNumberFormat="1" applyFont="1" applyBorder="1" applyAlignment="1">
      <alignment horizontal="center" vertical="center" shrinkToFit="1"/>
    </xf>
    <xf numFmtId="180" fontId="16" fillId="0" borderId="1" xfId="0" applyNumberFormat="1" applyFont="1" applyBorder="1" applyAlignment="1">
      <alignment horizontal="center" vertical="center" wrapText="1"/>
    </xf>
    <xf numFmtId="180" fontId="19" fillId="0" borderId="1" xfId="56" applyNumberFormat="1" applyFont="1" applyBorder="1" applyAlignment="1">
      <alignment horizontal="center" vertical="center" wrapText="1"/>
    </xf>
    <xf numFmtId="179" fontId="6" fillId="0" borderId="0" xfId="56" applyNumberFormat="1" applyFont="1" applyAlignment="1">
      <alignment horizontal="center" vertical="center"/>
    </xf>
    <xf numFmtId="179" fontId="6" fillId="0" borderId="1" xfId="56" applyNumberFormat="1" applyFont="1" applyBorder="1" applyAlignment="1">
      <alignment horizontal="center" vertical="center"/>
    </xf>
    <xf numFmtId="0" fontId="16" fillId="0" borderId="1" xfId="0" applyFont="1" applyBorder="1" applyAlignment="1">
      <alignment horizontal="left" vertical="center" wrapText="1"/>
    </xf>
    <xf numFmtId="0" fontId="20" fillId="0" borderId="1" xfId="0" applyFont="1" applyBorder="1" applyAlignment="1">
      <alignment horizontal="left" vertical="center" wrapText="1"/>
    </xf>
    <xf numFmtId="0" fontId="15" fillId="2" borderId="1" xfId="0" applyFont="1" applyFill="1" applyBorder="1" applyAlignment="1">
      <alignment horizontal="centerContinuous" vertical="center" wrapText="1"/>
    </xf>
    <xf numFmtId="0" fontId="15" fillId="2" borderId="1" xfId="0" applyFont="1" applyFill="1" applyBorder="1" applyAlignment="1">
      <alignment horizontal="left" vertical="center" wrapText="1"/>
    </xf>
    <xf numFmtId="0" fontId="15" fillId="2" borderId="1" xfId="0" applyFont="1" applyFill="1" applyBorder="1" applyAlignment="1">
      <alignment vertical="center" wrapText="1"/>
    </xf>
    <xf numFmtId="0" fontId="15" fillId="2" borderId="1" xfId="0" applyFont="1" applyFill="1" applyBorder="1" applyAlignment="1">
      <alignment horizontal="center" vertical="center" wrapText="1"/>
    </xf>
    <xf numFmtId="179" fontId="15" fillId="2" borderId="1" xfId="0" applyNumberFormat="1" applyFont="1" applyFill="1" applyBorder="1" applyAlignment="1">
      <alignment horizontal="center" vertical="center" wrapText="1"/>
    </xf>
    <xf numFmtId="179" fontId="18" fillId="2" borderId="1" xfId="0" applyNumberFormat="1" applyFont="1" applyFill="1" applyBorder="1" applyAlignment="1">
      <alignment horizontal="center" vertical="center"/>
    </xf>
    <xf numFmtId="181" fontId="18" fillId="2" borderId="1" xfId="0" applyNumberFormat="1" applyFont="1" applyFill="1" applyBorder="1" applyAlignment="1">
      <alignment horizontal="center" vertical="center" shrinkToFit="1"/>
    </xf>
    <xf numFmtId="180" fontId="15" fillId="2" borderId="1" xfId="0" applyNumberFormat="1" applyFont="1" applyFill="1" applyBorder="1" applyAlignment="1">
      <alignment horizontal="center" vertical="center" wrapText="1"/>
    </xf>
    <xf numFmtId="180" fontId="2" fillId="2" borderId="1" xfId="57" applyNumberFormat="1" applyFont="1" applyFill="1" applyBorder="1" applyAlignment="1">
      <alignment horizontal="center" vertical="center" wrapText="1"/>
    </xf>
    <xf numFmtId="179" fontId="2" fillId="0" borderId="0" xfId="57" applyNumberFormat="1" applyFont="1" applyAlignment="1">
      <alignment horizontal="center" vertical="center"/>
    </xf>
    <xf numFmtId="179" fontId="11" fillId="3" borderId="1" xfId="0" applyNumberFormat="1" applyFont="1" applyFill="1" applyBorder="1" applyAlignment="1">
      <alignment horizontal="center" vertical="center"/>
    </xf>
    <xf numFmtId="178" fontId="21" fillId="0" borderId="1" xfId="0" applyNumberFormat="1" applyFont="1" applyFill="1" applyBorder="1" applyAlignment="1">
      <alignment horizontal="center" vertical="center" wrapText="1"/>
    </xf>
    <xf numFmtId="179" fontId="22" fillId="0" borderId="1" xfId="0" applyNumberFormat="1" applyFont="1" applyFill="1" applyBorder="1" applyAlignment="1">
      <alignment horizontal="center" vertical="center"/>
    </xf>
    <xf numFmtId="179" fontId="23" fillId="0" borderId="1" xfId="0" applyNumberFormat="1" applyFont="1" applyFill="1" applyBorder="1" applyAlignment="1" applyProtection="1">
      <alignment horizontal="center" vertical="center"/>
      <protection locked="0"/>
    </xf>
    <xf numFmtId="10" fontId="23" fillId="0" borderId="1" xfId="0" applyNumberFormat="1" applyFont="1" applyFill="1" applyBorder="1" applyAlignment="1" applyProtection="1">
      <alignment horizontal="center" vertical="center"/>
      <protection locked="0"/>
    </xf>
    <xf numFmtId="179" fontId="24" fillId="0" borderId="1" xfId="0" applyNumberFormat="1" applyFont="1" applyFill="1" applyBorder="1" applyAlignment="1">
      <alignment horizontal="center" vertical="center"/>
    </xf>
    <xf numFmtId="179" fontId="25" fillId="0" borderId="1" xfId="0" applyNumberFormat="1" applyFont="1" applyFill="1" applyBorder="1" applyAlignment="1">
      <alignment horizontal="center" vertical="center"/>
    </xf>
    <xf numFmtId="179" fontId="1" fillId="0" borderId="1" xfId="0" applyNumberFormat="1" applyFont="1" applyFill="1" applyBorder="1" applyAlignment="1">
      <alignment horizontal="center" vertical="center"/>
    </xf>
    <xf numFmtId="179" fontId="23" fillId="0" borderId="1" xfId="0" applyNumberFormat="1" applyFont="1" applyFill="1" applyBorder="1" applyAlignment="1">
      <alignment horizontal="center" vertical="center"/>
    </xf>
    <xf numFmtId="10" fontId="23" fillId="0" borderId="1" xfId="0" applyNumberFormat="1" applyFont="1" applyFill="1" applyBorder="1" applyAlignment="1">
      <alignment horizontal="center" vertical="center"/>
    </xf>
    <xf numFmtId="179" fontId="26" fillId="0" borderId="1" xfId="0" applyNumberFormat="1" applyFont="1" applyFill="1" applyBorder="1" applyAlignment="1">
      <alignment horizontal="center" vertical="center" wrapText="1"/>
    </xf>
    <xf numFmtId="179" fontId="17" fillId="0" borderId="1" xfId="0" applyNumberFormat="1" applyFont="1" applyFill="1" applyBorder="1" applyAlignment="1" applyProtection="1">
      <alignment horizontal="center" vertical="center" wrapText="1"/>
      <protection locked="0"/>
    </xf>
    <xf numFmtId="10" fontId="26" fillId="0" borderId="1" xfId="0" applyNumberFormat="1" applyFont="1" applyFill="1" applyBorder="1" applyAlignment="1">
      <alignment horizontal="center" vertical="center" wrapText="1"/>
    </xf>
    <xf numFmtId="179" fontId="21" fillId="0" borderId="1" xfId="0" applyNumberFormat="1" applyFont="1" applyFill="1" applyBorder="1" applyAlignment="1">
      <alignment horizontal="center" vertical="center"/>
    </xf>
    <xf numFmtId="10" fontId="21" fillId="0" borderId="1" xfId="0" applyNumberFormat="1" applyFont="1" applyFill="1" applyBorder="1" applyAlignment="1">
      <alignment horizontal="center" vertical="center"/>
    </xf>
    <xf numFmtId="49" fontId="8" fillId="0" borderId="1" xfId="58" applyNumberFormat="1" applyBorder="1" applyAlignment="1">
      <alignment horizontal="center"/>
    </xf>
    <xf numFmtId="0" fontId="27" fillId="0" borderId="1" xfId="58" applyFont="1" applyBorder="1" applyAlignment="1">
      <alignment horizontal="left" vertical="center" wrapText="1"/>
    </xf>
    <xf numFmtId="0" fontId="8" fillId="0" borderId="1" xfId="58" applyBorder="1"/>
    <xf numFmtId="0" fontId="8" fillId="0" borderId="1" xfId="58" applyBorder="1" applyAlignment="1">
      <alignment horizontal="center"/>
    </xf>
    <xf numFmtId="180" fontId="8" fillId="0" borderId="1" xfId="58" applyNumberFormat="1" applyBorder="1" applyAlignment="1">
      <alignment horizontal="center" vertical="center"/>
    </xf>
    <xf numFmtId="180" fontId="8" fillId="0" borderId="1" xfId="58" applyNumberFormat="1" applyBorder="1" applyAlignment="1">
      <alignment horizontal="center"/>
    </xf>
    <xf numFmtId="179" fontId="9" fillId="0" borderId="1" xfId="58" applyNumberFormat="1" applyFont="1" applyBorder="1" applyAlignment="1">
      <alignment horizontal="center" vertical="center"/>
    </xf>
    <xf numFmtId="0" fontId="15" fillId="0" borderId="1" xfId="0" applyFont="1" applyBorder="1" applyAlignment="1">
      <alignment horizontal="centerContinuous" vertical="center" wrapText="1"/>
    </xf>
    <xf numFmtId="0" fontId="15" fillId="0" borderId="1" xfId="0" applyFont="1" applyBorder="1" applyAlignment="1">
      <alignment horizontal="left" vertical="center" wrapText="1"/>
    </xf>
    <xf numFmtId="0" fontId="15" fillId="0" borderId="1" xfId="0" applyFont="1" applyBorder="1" applyAlignment="1">
      <alignment vertical="center" wrapText="1"/>
    </xf>
    <xf numFmtId="179" fontId="18" fillId="0" borderId="1" xfId="0" applyNumberFormat="1" applyFont="1" applyBorder="1" applyAlignment="1">
      <alignment horizontal="center" vertical="center"/>
    </xf>
    <xf numFmtId="180" fontId="15" fillId="0" borderId="1" xfId="0" applyNumberFormat="1" applyFont="1" applyBorder="1" applyAlignment="1">
      <alignment horizontal="center" vertical="center" wrapText="1"/>
    </xf>
    <xf numFmtId="180" fontId="2" fillId="0" borderId="1" xfId="57" applyNumberFormat="1" applyFont="1" applyFill="1" applyBorder="1" applyAlignment="1">
      <alignment horizontal="center" vertical="center" wrapText="1"/>
    </xf>
    <xf numFmtId="179" fontId="11" fillId="4" borderId="1" xfId="0" applyNumberFormat="1" applyFont="1" applyFill="1" applyBorder="1" applyAlignment="1">
      <alignment horizontal="center" vertical="center"/>
    </xf>
    <xf numFmtId="180" fontId="12" fillId="0" borderId="1" xfId="58" applyNumberFormat="1" applyFont="1" applyBorder="1" applyAlignment="1">
      <alignment horizontal="center" vertical="center"/>
    </xf>
    <xf numFmtId="49" fontId="16" fillId="0" borderId="1" xfId="0" applyNumberFormat="1" applyFont="1" applyBorder="1" applyAlignment="1">
      <alignment horizontal="centerContinuous" vertical="center" wrapText="1"/>
    </xf>
    <xf numFmtId="0" fontId="16" fillId="0" borderId="1" xfId="0" applyFont="1" applyBorder="1" applyAlignment="1">
      <alignment vertical="center" wrapText="1"/>
    </xf>
    <xf numFmtId="179" fontId="16" fillId="0" borderId="1" xfId="0" applyNumberFormat="1" applyFont="1" applyBorder="1" applyAlignment="1">
      <alignment horizontal="center" vertical="center" wrapText="1"/>
    </xf>
    <xf numFmtId="180" fontId="16" fillId="0" borderId="1" xfId="0" applyNumberFormat="1" applyFont="1" applyBorder="1" applyAlignment="1" applyProtection="1">
      <alignment horizontal="center" vertical="center" wrapText="1"/>
      <protection locked="0"/>
    </xf>
    <xf numFmtId="180" fontId="2" fillId="0" borderId="1" xfId="57" applyNumberFormat="1" applyFont="1" applyBorder="1" applyAlignment="1">
      <alignment horizontal="center" vertical="center" wrapText="1"/>
    </xf>
    <xf numFmtId="179" fontId="2" fillId="0" borderId="1" xfId="57" applyNumberFormat="1" applyFont="1" applyBorder="1" applyAlignment="1">
      <alignment horizontal="center" vertical="center"/>
    </xf>
    <xf numFmtId="179" fontId="7" fillId="0" borderId="1" xfId="0" applyNumberFormat="1" applyFont="1" applyFill="1" applyBorder="1" applyAlignment="1">
      <alignment horizontal="center" vertical="center"/>
    </xf>
    <xf numFmtId="10" fontId="7" fillId="0" borderId="1" xfId="0" applyNumberFormat="1" applyFont="1" applyFill="1" applyBorder="1" applyAlignment="1">
      <alignment horizontal="center" vertical="center"/>
    </xf>
    <xf numFmtId="10" fontId="28" fillId="0" borderId="1" xfId="0" applyNumberFormat="1" applyFont="1" applyFill="1" applyBorder="1" applyAlignment="1">
      <alignment horizontal="center" vertical="center" wrapText="1"/>
    </xf>
    <xf numFmtId="179" fontId="28" fillId="0" borderId="1" xfId="0" applyNumberFormat="1" applyFont="1" applyFill="1" applyBorder="1" applyAlignment="1">
      <alignment horizontal="center" vertical="center" wrapText="1"/>
    </xf>
    <xf numFmtId="0" fontId="17" fillId="0" borderId="1" xfId="0" applyFont="1" applyBorder="1" applyAlignment="1">
      <alignment vertical="center" wrapText="1"/>
    </xf>
    <xf numFmtId="0" fontId="16" fillId="0" borderId="1" xfId="0" applyFont="1" applyBorder="1" applyAlignment="1">
      <alignment horizontal="centerContinuous" vertical="center" wrapText="1"/>
    </xf>
    <xf numFmtId="0" fontId="15" fillId="0" borderId="4" xfId="0" applyFont="1" applyBorder="1" applyAlignment="1">
      <alignment horizontal="center" vertical="center" wrapText="1"/>
    </xf>
    <xf numFmtId="0" fontId="15" fillId="0" borderId="1" xfId="0" applyFont="1" applyBorder="1" applyAlignment="1">
      <alignment horizontal="center" vertical="center"/>
    </xf>
    <xf numFmtId="0" fontId="0" fillId="0" borderId="5" xfId="0" applyBorder="1" applyAlignment="1"/>
    <xf numFmtId="0" fontId="0" fillId="0" borderId="4" xfId="0" applyBorder="1" applyAlignment="1"/>
    <xf numFmtId="0" fontId="15" fillId="0" borderId="4" xfId="0" applyFont="1" applyBorder="1" applyAlignment="1">
      <alignment vertical="center"/>
    </xf>
    <xf numFmtId="179" fontId="29" fillId="5" borderId="6" xfId="0" applyNumberFormat="1" applyFont="1" applyFill="1" applyBorder="1" applyAlignment="1">
      <alignment horizontal="right" vertical="center" wrapText="1"/>
    </xf>
    <xf numFmtId="0" fontId="30" fillId="0" borderId="0" xfId="0" applyFont="1" applyAlignment="1">
      <alignment vertical="center"/>
    </xf>
    <xf numFmtId="0" fontId="1" fillId="0" borderId="0" xfId="0" applyFont="1" applyAlignment="1">
      <alignment horizontal="center" vertical="center"/>
    </xf>
    <xf numFmtId="177" fontId="1" fillId="0" borderId="0" xfId="0" applyNumberFormat="1" applyFont="1" applyAlignment="1">
      <alignment horizontal="center" vertical="center" wrapText="1"/>
    </xf>
    <xf numFmtId="178" fontId="1" fillId="0" borderId="0" xfId="0" applyNumberFormat="1" applyFont="1" applyAlignment="1">
      <alignment horizontal="center" vertical="center" wrapText="1"/>
    </xf>
    <xf numFmtId="0" fontId="6" fillId="0" borderId="0" xfId="0" applyFont="1" applyAlignment="1">
      <alignment horizontal="center" vertical="center"/>
    </xf>
    <xf numFmtId="179" fontId="6" fillId="0" borderId="0" xfId="0" applyNumberFormat="1" applyFont="1" applyAlignment="1">
      <alignment horizontal="center" vertical="center"/>
    </xf>
    <xf numFmtId="10" fontId="6" fillId="0" borderId="0" xfId="0" applyNumberFormat="1" applyFont="1" applyAlignment="1">
      <alignment horizontal="center" vertical="center"/>
    </xf>
    <xf numFmtId="179" fontId="1" fillId="0" borderId="0" xfId="0" applyNumberFormat="1" applyFont="1" applyAlignment="1">
      <alignment vertical="center"/>
    </xf>
    <xf numFmtId="10" fontId="6" fillId="0" borderId="1" xfId="0" applyNumberFormat="1" applyFont="1" applyBorder="1" applyAlignment="1">
      <alignment horizontal="center" vertical="center"/>
    </xf>
    <xf numFmtId="179"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79" fontId="2" fillId="0" borderId="0" xfId="0" applyNumberFormat="1" applyFont="1" applyAlignment="1">
      <alignment horizontal="center" vertical="center" wrapText="1"/>
    </xf>
    <xf numFmtId="10" fontId="14"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23"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79" fontId="2" fillId="0" borderId="1" xfId="0" applyNumberFormat="1" applyFont="1" applyBorder="1" applyAlignment="1">
      <alignment horizontal="center" vertical="center"/>
    </xf>
    <xf numFmtId="0" fontId="30" fillId="0" borderId="0" xfId="0" applyFont="1" applyAlignment="1">
      <alignment horizontal="center" vertical="center"/>
    </xf>
    <xf numFmtId="179" fontId="30" fillId="0" borderId="1" xfId="0" applyNumberFormat="1" applyFont="1" applyBorder="1" applyAlignment="1">
      <alignment horizontal="center" vertical="center"/>
    </xf>
    <xf numFmtId="10" fontId="30" fillId="0" borderId="1" xfId="0" applyNumberFormat="1" applyFont="1" applyBorder="1" applyAlignment="1">
      <alignment horizontal="center" vertical="center"/>
    </xf>
    <xf numFmtId="179" fontId="30" fillId="0" borderId="0" xfId="0" applyNumberFormat="1" applyFont="1" applyAlignment="1">
      <alignment horizontal="center" vertical="center"/>
    </xf>
    <xf numFmtId="179" fontId="30" fillId="0" borderId="0" xfId="0" applyNumberFormat="1" applyFont="1" applyAlignment="1">
      <alignment vertical="center"/>
    </xf>
    <xf numFmtId="0" fontId="6" fillId="0" borderId="1" xfId="0" applyFont="1" applyBorder="1" applyAlignment="1">
      <alignment horizontal="center" vertical="center"/>
    </xf>
    <xf numFmtId="23" fontId="6" fillId="0" borderId="1" xfId="0"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178" fontId="6" fillId="0" borderId="1" xfId="0" applyNumberFormat="1" applyFont="1" applyBorder="1" applyAlignment="1">
      <alignment horizontal="center" vertical="center" wrapText="1"/>
    </xf>
    <xf numFmtId="0" fontId="31" fillId="2" borderId="1" xfId="5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23" fontId="6" fillId="2" borderId="1" xfId="0" applyNumberFormat="1" applyFont="1" applyFill="1" applyBorder="1" applyAlignment="1">
      <alignment horizontal="center" vertical="center" wrapText="1"/>
    </xf>
    <xf numFmtId="177" fontId="6" fillId="2" borderId="1" xfId="0" applyNumberFormat="1" applyFont="1" applyFill="1" applyBorder="1" applyAlignment="1">
      <alignment horizontal="center" vertical="center" wrapText="1"/>
    </xf>
    <xf numFmtId="177" fontId="7" fillId="2" borderId="1" xfId="0" applyNumberFormat="1" applyFont="1" applyFill="1" applyBorder="1" applyAlignment="1">
      <alignment horizontal="center" vertical="center"/>
    </xf>
    <xf numFmtId="179" fontId="7" fillId="2" borderId="1" xfId="0" applyNumberFormat="1" applyFont="1" applyFill="1" applyBorder="1" applyAlignment="1">
      <alignment horizontal="center" vertical="center"/>
    </xf>
    <xf numFmtId="178" fontId="1" fillId="2" borderId="1" xfId="0" applyNumberFormat="1" applyFont="1" applyFill="1" applyBorder="1" applyAlignment="1">
      <alignment horizontal="center" vertical="center" wrapText="1"/>
    </xf>
    <xf numFmtId="179" fontId="2" fillId="2" borderId="1" xfId="0" applyNumberFormat="1" applyFont="1" applyFill="1" applyBorder="1" applyAlignment="1">
      <alignment horizontal="center" vertical="center"/>
    </xf>
    <xf numFmtId="179" fontId="23" fillId="0" borderId="1" xfId="0" applyNumberFormat="1" applyFont="1" applyFill="1" applyBorder="1" applyAlignment="1">
      <alignment horizontal="center" vertical="center" wrapText="1"/>
    </xf>
    <xf numFmtId="10" fontId="21" fillId="0" borderId="1" xfId="0" applyNumberFormat="1" applyFont="1" applyFill="1" applyBorder="1" applyAlignment="1">
      <alignment horizontal="center" vertical="center" wrapText="1"/>
    </xf>
    <xf numFmtId="179" fontId="21" fillId="0" borderId="1" xfId="0" applyNumberFormat="1" applyFont="1" applyFill="1" applyBorder="1" applyAlignment="1">
      <alignment horizontal="center" vertical="center" wrapText="1"/>
    </xf>
    <xf numFmtId="10" fontId="11" fillId="3" borderId="1" xfId="0" applyNumberFormat="1" applyFont="1" applyFill="1" applyBorder="1" applyAlignment="1">
      <alignment horizontal="center" vertical="center"/>
    </xf>
    <xf numFmtId="0" fontId="20"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31" fillId="0" borderId="1" xfId="50" applyFont="1" applyBorder="1" applyAlignment="1">
      <alignment horizontal="center" vertical="center" wrapText="1"/>
    </xf>
    <xf numFmtId="10" fontId="11" fillId="4"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18" fillId="0" borderId="1" xfId="0" applyFont="1" applyBorder="1" applyAlignment="1">
      <alignment horizontal="left" vertical="center" wrapText="1"/>
    </xf>
    <xf numFmtId="2" fontId="23" fillId="0" borderId="1" xfId="0" applyNumberFormat="1" applyFont="1" applyFill="1" applyBorder="1" applyAlignment="1">
      <alignment horizontal="center" vertical="center" wrapText="1"/>
    </xf>
    <xf numFmtId="2" fontId="21" fillId="0" borderId="1" xfId="0" applyNumberFormat="1" applyFont="1" applyFill="1" applyBorder="1" applyAlignment="1">
      <alignment horizontal="center" vertical="center" wrapText="1"/>
    </xf>
    <xf numFmtId="179" fontId="32" fillId="0" borderId="0" xfId="0" applyNumberFormat="1" applyFont="1" applyAlignment="1">
      <alignment horizontal="center" vertical="center"/>
    </xf>
    <xf numFmtId="10" fontId="2" fillId="0" borderId="0" xfId="0" applyNumberFormat="1" applyFont="1" applyAlignment="1">
      <alignment horizontal="center" vertical="center" wrapText="1"/>
    </xf>
    <xf numFmtId="0" fontId="6" fillId="2" borderId="1" xfId="0" applyFont="1" applyFill="1" applyBorder="1" applyAlignment="1">
      <alignment horizontal="center" vertical="center"/>
    </xf>
    <xf numFmtId="0" fontId="20" fillId="2" borderId="1"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23" fontId="2" fillId="0" borderId="2" xfId="0" applyNumberFormat="1" applyFont="1" applyBorder="1" applyAlignment="1">
      <alignment horizontal="center" vertical="center" wrapText="1"/>
    </xf>
    <xf numFmtId="179" fontId="2" fillId="0" borderId="1" xfId="0" applyNumberFormat="1" applyFont="1" applyFill="1" applyBorder="1" applyAlignment="1">
      <alignment horizontal="center" vertical="center"/>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2" fontId="33" fillId="0" borderId="1" xfId="0" applyNumberFormat="1" applyFont="1" applyFill="1" applyBorder="1" applyAlignment="1">
      <alignment horizontal="center" vertical="center" wrapText="1"/>
    </xf>
    <xf numFmtId="0" fontId="34" fillId="2" borderId="2" xfId="0" applyFont="1" applyFill="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34" fillId="0" borderId="2" xfId="0" applyFont="1" applyBorder="1" applyAlignment="1">
      <alignment horizontal="left" vertical="center" wrapText="1"/>
    </xf>
    <xf numFmtId="10" fontId="25" fillId="0" borderId="1" xfId="0" applyNumberFormat="1" applyFont="1" applyFill="1" applyBorder="1" applyAlignment="1">
      <alignment horizontal="center" vertical="center"/>
    </xf>
    <xf numFmtId="179" fontId="21" fillId="0" borderId="1" xfId="0" applyNumberFormat="1" applyFont="1" applyFill="1" applyBorder="1" applyAlignment="1" applyProtection="1">
      <alignment horizontal="center" vertical="center"/>
      <protection locked="0"/>
    </xf>
    <xf numFmtId="0" fontId="30" fillId="0" borderId="0" xfId="0" applyNumberFormat="1" applyFont="1" applyAlignment="1">
      <alignment horizontal="center" vertical="center"/>
    </xf>
    <xf numFmtId="177" fontId="35" fillId="0" borderId="0" xfId="0" applyNumberFormat="1" applyFont="1" applyAlignment="1">
      <alignment vertical="center"/>
    </xf>
    <xf numFmtId="177" fontId="27" fillId="0" borderId="0" xfId="0" applyNumberFormat="1" applyFont="1" applyAlignment="1">
      <alignment horizontal="center" vertical="center" wrapText="1"/>
    </xf>
    <xf numFmtId="177" fontId="8" fillId="0" borderId="0" xfId="0" applyNumberFormat="1" applyFont="1" applyAlignment="1">
      <alignment vertical="center"/>
    </xf>
    <xf numFmtId="177" fontId="8" fillId="0" borderId="0" xfId="0" applyNumberFormat="1" applyFont="1" applyAlignment="1">
      <alignment horizontal="left" vertical="center" wrapText="1"/>
    </xf>
    <xf numFmtId="181" fontId="8" fillId="0" borderId="0" xfId="0" applyNumberFormat="1" applyFont="1" applyAlignment="1">
      <alignment horizontal="right" vertical="center" wrapText="1"/>
    </xf>
    <xf numFmtId="177" fontId="13" fillId="0" borderId="0" xfId="0" applyNumberFormat="1" applyFont="1" applyAlignment="1">
      <alignment horizontal="center" vertical="center"/>
    </xf>
    <xf numFmtId="177" fontId="36" fillId="0" borderId="0" xfId="0" applyNumberFormat="1" applyFont="1" applyAlignment="1">
      <alignment horizontal="center" vertical="center"/>
    </xf>
    <xf numFmtId="177" fontId="37" fillId="0" borderId="0" xfId="0" applyNumberFormat="1" applyFont="1" applyAlignment="1">
      <alignment horizontal="left" vertical="center"/>
    </xf>
    <xf numFmtId="177" fontId="12" fillId="6" borderId="1" xfId="0" applyNumberFormat="1" applyFont="1" applyFill="1" applyBorder="1" applyAlignment="1">
      <alignment horizontal="center" vertical="center" wrapText="1"/>
    </xf>
    <xf numFmtId="181" fontId="12" fillId="6" borderId="1" xfId="0" applyNumberFormat="1" applyFont="1" applyFill="1" applyBorder="1" applyAlignment="1">
      <alignment horizontal="center" vertical="center" wrapText="1"/>
    </xf>
    <xf numFmtId="177" fontId="12" fillId="0" borderId="1" xfId="0" applyNumberFormat="1" applyFont="1" applyBorder="1" applyAlignment="1">
      <alignment horizontal="center" vertical="center" wrapText="1"/>
    </xf>
    <xf numFmtId="181" fontId="12" fillId="0" borderId="1" xfId="0" applyNumberFormat="1" applyFont="1" applyBorder="1" applyAlignment="1">
      <alignment horizontal="center" vertical="center" wrapText="1"/>
    </xf>
    <xf numFmtId="181" fontId="38" fillId="0" borderId="0" xfId="0" applyNumberFormat="1" applyFont="1" applyAlignment="1">
      <alignment horizontal="right" vertical="center" wrapText="1"/>
    </xf>
    <xf numFmtId="0" fontId="0" fillId="0" borderId="0" xfId="0" applyAlignment="1"/>
    <xf numFmtId="0" fontId="39" fillId="0" borderId="0" xfId="0" applyFont="1" applyAlignment="1">
      <alignment horizontal="center" vertical="center" wrapText="1"/>
    </xf>
    <xf numFmtId="0" fontId="40" fillId="0" borderId="7" xfId="0" applyFont="1" applyBorder="1" applyAlignment="1">
      <alignment vertical="center"/>
    </xf>
    <xf numFmtId="0" fontId="41" fillId="0" borderId="8" xfId="0" applyFont="1" applyBorder="1" applyAlignment="1">
      <alignment vertical="center"/>
    </xf>
    <xf numFmtId="0" fontId="41" fillId="0" borderId="2" xfId="0" applyFont="1" applyBorder="1" applyAlignment="1">
      <alignment vertical="center"/>
    </xf>
    <xf numFmtId="0" fontId="41" fillId="0" borderId="2" xfId="0" applyFont="1" applyBorder="1" applyAlignment="1">
      <alignment vertical="center" wrapText="1"/>
    </xf>
    <xf numFmtId="0" fontId="40" fillId="0" borderId="7" xfId="0" applyFont="1" applyBorder="1" applyAlignment="1">
      <alignment vertical="center" wrapText="1"/>
    </xf>
    <xf numFmtId="0" fontId="41" fillId="0" borderId="8" xfId="0" applyFont="1" applyBorder="1" applyAlignment="1">
      <alignment vertical="center" wrapText="1"/>
    </xf>
    <xf numFmtId="178" fontId="41" fillId="0" borderId="8" xfId="0" applyNumberFormat="1" applyFont="1" applyBorder="1" applyAlignment="1">
      <alignment vertical="center"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光2幕墙清单20100511" xfId="49"/>
    <cellStyle name="Normal" xfId="50"/>
    <cellStyle name="常规_非标箱报价清单珠海万科魅力之城花园9~20#楼" xfId="51"/>
    <cellStyle name="常规 7" xfId="52"/>
    <cellStyle name="常规_常规项目清单比价表" xfId="53"/>
    <cellStyle name="常规_V1V2型精装修工程报价汇总表" xfId="54"/>
    <cellStyle name="常规 10 2" xfId="55"/>
    <cellStyle name="常规 3 3" xfId="56"/>
    <cellStyle name="RowLevel_0" xfId="57"/>
    <cellStyle name="常规 3 3 2" xfId="58"/>
    <cellStyle name="常规 10 2 2" xfId="59"/>
    <cellStyle name="常规_万科合院木地板结算审核表" xfId="60"/>
    <cellStyle name="常规_结算审批表xls" xfId="61"/>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478;&#24066;&#20844;&#21496;\&#25307;&#26631;&#25511;&#21046;&#20215;\&#23792;&#23578;&#19977;&#26399;&#20027;&#20307;\&#23792;&#23578;&#19977;&#26399;&#25511;&#21046;&#20215;\&#25511;&#21046;&#20215;&#25253;&#32929;&#20221;\&#22686;&#20540;&#31246;&#27169;&#24335;\&#29664;&#28023;&#20844;&#21496;\&#21313;&#23383;&#38376;&#22269;&#38469;&#31038;&#21306;\&#20998;&#39033;&#24037;&#31243;\&#20027;&#20307;\&#32511;&#27915;&#28286;\0&#12289;&#21326;&#21457;&#32511;&#27915;&#28286;&#20027;&#20307;&#24314;&#23433;&#24037;&#31243;&#25307;&#26631;&#25511;&#21046;&#20215;2015.08.07&#65288;&#26681;&#25454;&#20844;&#21496;&#39046;&#23548;&#35201;&#27714;&#22312;20150728&#29256;&#26412;&#30340;&#22522;&#30784;&#19978;+3%25&#65289;\&#21508;&#24037;&#31243;&#25991;&#26723;\&#21335;&#28023;&#31048;&#31119;&#21335;&#28286;&#21322;&#23707;\&#27915;&#27004;\A12b&#23627;&#22411;\A12b&#23627;&#22411;&#32467;&#26500;&#24037;&#31243;&#3732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备注"/>
      <sheetName val="管桩"/>
      <sheetName val="承台基础"/>
      <sheetName val="地梁"/>
      <sheetName val="异柱"/>
      <sheetName val="矩柱"/>
      <sheetName val="构造柱"/>
      <sheetName val="电梯井壁"/>
      <sheetName val="直梁"/>
      <sheetName val="圈梁"/>
      <sheetName val="楼板"/>
      <sheetName val="挑檐"/>
      <sheetName val="栏板"/>
      <sheetName val="空调板"/>
      <sheetName val="雨篷"/>
      <sheetName val="梯板"/>
      <sheetName val="门窗表"/>
      <sheetName val="骨浆计算式(备)"/>
      <sheetName val="计算式明细"/>
      <sheetName val="墙面工程"/>
      <sheetName val="PUR资料库"/>
      <sheetName val="#REF!"/>
      <sheetName val="sum(Flooring )"/>
      <sheetName val="汇总表"/>
      <sheetName val="工程量表"/>
      <sheetName val="2清单编制说明"/>
      <sheetName val="底板"/>
      <sheetName val="单位库"/>
      <sheetName val="清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
  <sheetViews>
    <sheetView view="pageBreakPreview" zoomScaleNormal="100" workbookViewId="0">
      <selection activeCell="D9" sqref="D9"/>
    </sheetView>
  </sheetViews>
  <sheetFormatPr defaultColWidth="9" defaultRowHeight="13.5"/>
  <cols>
    <col min="1" max="1" width="94.6333333333333" style="202" customWidth="1"/>
  </cols>
  <sheetData>
    <row r="1" ht="50" customHeight="1" spans="1:1">
      <c r="A1" s="203" t="s">
        <v>0</v>
      </c>
    </row>
    <row r="2" ht="30" customHeight="1" spans="1:1">
      <c r="A2" s="204" t="s">
        <v>1</v>
      </c>
    </row>
    <row r="3" ht="20" customHeight="1" spans="1:1">
      <c r="A3" s="205" t="s">
        <v>2</v>
      </c>
    </row>
    <row r="4" ht="20" customHeight="1" spans="1:1">
      <c r="A4" s="205" t="s">
        <v>3</v>
      </c>
    </row>
    <row r="5" ht="20" customHeight="1" spans="1:1">
      <c r="A5" s="206" t="s">
        <v>4</v>
      </c>
    </row>
    <row r="6" ht="30" customHeight="1" spans="1:1">
      <c r="A6" s="204" t="s">
        <v>5</v>
      </c>
    </row>
    <row r="7" ht="36" customHeight="1" spans="1:1">
      <c r="A7" s="207" t="s">
        <v>6</v>
      </c>
    </row>
    <row r="8" ht="30" customHeight="1" spans="1:1">
      <c r="A8" s="204" t="s">
        <v>7</v>
      </c>
    </row>
    <row r="9" ht="34" customHeight="1" spans="1:1">
      <c r="A9" s="207" t="s">
        <v>8</v>
      </c>
    </row>
    <row r="10" ht="30" customHeight="1" spans="1:1">
      <c r="A10" s="208" t="s">
        <v>9</v>
      </c>
    </row>
    <row r="11" ht="89" customHeight="1" spans="1:1">
      <c r="A11" s="209" t="s">
        <v>10</v>
      </c>
    </row>
    <row r="12" ht="30" customHeight="1" spans="1:1">
      <c r="A12" s="204" t="s">
        <v>11</v>
      </c>
    </row>
    <row r="13" ht="25" customHeight="1" spans="1:1">
      <c r="A13" s="205" t="s">
        <v>12</v>
      </c>
    </row>
    <row r="14" ht="25" customHeight="1" spans="1:1">
      <c r="A14" s="210" t="s">
        <v>13</v>
      </c>
    </row>
    <row r="15" ht="48" customHeight="1" spans="1:1">
      <c r="A15" s="210" t="s">
        <v>14</v>
      </c>
    </row>
    <row r="16" ht="35" customHeight="1" spans="1:1">
      <c r="A16" s="210"/>
    </row>
    <row r="17" ht="25" customHeight="1" spans="1:1">
      <c r="A17" s="210"/>
    </row>
    <row r="18" ht="25" customHeight="1" spans="1:1">
      <c r="A18" s="210"/>
    </row>
    <row r="19" ht="25" customHeight="1" spans="1:1">
      <c r="A19" s="210"/>
    </row>
    <row r="20" ht="35" customHeight="1" spans="1:1">
      <c r="A20" s="207"/>
    </row>
  </sheetData>
  <printOptions horizontalCentered="1"/>
  <pageMargins left="0.751388888888889" right="0.751388888888889" top="0.550694444444444" bottom="0.590277777777778" header="0.5" footer="0.354166666666667"/>
  <pageSetup paperSize="9" scale="91" orientation="portrait" blackAndWhite="1"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pageSetUpPr fitToPage="1"/>
  </sheetPr>
  <dimension ref="A1:M77"/>
  <sheetViews>
    <sheetView view="pageBreakPreview" zoomScaleNormal="100" workbookViewId="0">
      <pane ySplit="3" topLeftCell="A4" activePane="bottomLeft" state="frozen"/>
      <selection/>
      <selection pane="bottomLeft" activeCell="F14" sqref="F14"/>
    </sheetView>
  </sheetViews>
  <sheetFormatPr defaultColWidth="10" defaultRowHeight="11.25"/>
  <cols>
    <col min="1" max="1" width="8.63333333333333" style="191" customWidth="1"/>
    <col min="2" max="2" width="28.1916666666667" style="192" customWidth="1"/>
    <col min="3" max="3" width="19.7166666666667" style="191" customWidth="1"/>
    <col min="4" max="4" width="14.375" style="191" customWidth="1"/>
    <col min="5" max="7" width="19.7166666666667" style="193" customWidth="1"/>
    <col min="8" max="8" width="16.0666666666667" style="194" customWidth="1"/>
    <col min="9" max="9" width="10" style="191" customWidth="1"/>
    <col min="10" max="10" width="11.125" style="191" customWidth="1"/>
    <col min="11" max="16384" width="10" style="191" customWidth="1"/>
  </cols>
  <sheetData>
    <row r="1" s="189" customFormat="1" ht="48" customHeight="1" spans="1:8">
      <c r="A1" s="195" t="s">
        <v>15</v>
      </c>
    </row>
    <row r="2" s="189" customFormat="1" ht="24" customHeight="1" spans="1:8">
      <c r="A2" s="196" t="s">
        <v>16</v>
      </c>
    </row>
    <row r="3" s="190" customFormat="1" ht="36" customHeight="1" spans="1:8">
      <c r="A3" s="197" t="s">
        <v>17</v>
      </c>
      <c r="B3" s="197" t="s">
        <v>18</v>
      </c>
      <c r="C3" s="197" t="s">
        <v>19</v>
      </c>
      <c r="D3" s="197" t="s">
        <v>20</v>
      </c>
      <c r="E3" s="198" t="s">
        <v>21</v>
      </c>
      <c r="F3" s="198" t="s">
        <v>22</v>
      </c>
      <c r="G3" s="198" t="s">
        <v>23</v>
      </c>
      <c r="H3" s="197" t="s">
        <v>24</v>
      </c>
    </row>
    <row r="4" s="190" customFormat="1" ht="36" customHeight="1" spans="1:8">
      <c r="A4" s="40">
        <v>1</v>
      </c>
      <c r="B4" s="199" t="s">
        <v>25</v>
      </c>
      <c r="C4" s="199">
        <v>274.13</v>
      </c>
      <c r="D4" s="199">
        <v>1</v>
      </c>
      <c r="E4" s="200">
        <f>+地上装修工程!K4</f>
        <v>1153893.57</v>
      </c>
      <c r="F4" s="200">
        <f t="shared" ref="F4:F14" si="0">E4*D4</f>
        <v>1153893.57</v>
      </c>
      <c r="G4" s="200">
        <f t="shared" ref="G4:G17" si="1">+E4/C4</f>
        <v>4209.29329150403</v>
      </c>
      <c r="H4" s="199"/>
    </row>
    <row r="5" s="190" customFormat="1" ht="36" customHeight="1" spans="1:8">
      <c r="A5" s="40">
        <v>2</v>
      </c>
      <c r="B5" s="199" t="s">
        <v>26</v>
      </c>
      <c r="C5" s="199">
        <v>303.3</v>
      </c>
      <c r="D5" s="199">
        <v>1</v>
      </c>
      <c r="E5" s="200">
        <f>+地上装修工程!K168</f>
        <v>818850.500000001</v>
      </c>
      <c r="F5" s="200">
        <f t="shared" si="0"/>
        <v>818850.500000001</v>
      </c>
      <c r="G5" s="200">
        <f t="shared" si="1"/>
        <v>2699.80382459611</v>
      </c>
      <c r="H5" s="199"/>
    </row>
    <row r="6" s="190" customFormat="1" ht="36" customHeight="1" spans="1:8">
      <c r="A6" s="40">
        <v>3</v>
      </c>
      <c r="B6" s="199" t="s">
        <v>27</v>
      </c>
      <c r="C6" s="199">
        <v>59.41</v>
      </c>
      <c r="D6" s="199">
        <v>28</v>
      </c>
      <c r="E6" s="200">
        <f>+地上装修工程!K336</f>
        <v>124011.05</v>
      </c>
      <c r="F6" s="200">
        <f t="shared" si="0"/>
        <v>3472309.4</v>
      </c>
      <c r="G6" s="200">
        <f t="shared" si="1"/>
        <v>2087.37670425854</v>
      </c>
      <c r="H6" s="199"/>
    </row>
    <row r="7" s="190" customFormat="1" ht="36" customHeight="1" spans="1:8">
      <c r="A7" s="40">
        <v>4</v>
      </c>
      <c r="B7" s="199" t="s">
        <v>28</v>
      </c>
      <c r="C7" s="199">
        <v>887.57</v>
      </c>
      <c r="D7" s="199">
        <v>1</v>
      </c>
      <c r="E7" s="200">
        <f>+地上装修工程!K448</f>
        <v>4152205.99</v>
      </c>
      <c r="F7" s="200">
        <f t="shared" si="0"/>
        <v>4152205.99</v>
      </c>
      <c r="G7" s="200">
        <f t="shared" si="1"/>
        <v>4678.17297790597</v>
      </c>
      <c r="H7" s="199"/>
    </row>
    <row r="8" s="190" customFormat="1" ht="36" customHeight="1" spans="1:8">
      <c r="A8" s="40">
        <v>5</v>
      </c>
      <c r="B8" s="199" t="s">
        <v>29</v>
      </c>
      <c r="C8" s="199">
        <v>278.86</v>
      </c>
      <c r="D8" s="199">
        <v>1</v>
      </c>
      <c r="E8" s="200">
        <f>+地上装修工程!K911</f>
        <v>1296269.12</v>
      </c>
      <c r="F8" s="200">
        <f t="shared" si="0"/>
        <v>1296269.12</v>
      </c>
      <c r="G8" s="200">
        <f t="shared" si="1"/>
        <v>4648.45843792584</v>
      </c>
      <c r="H8" s="199"/>
    </row>
    <row r="9" s="190" customFormat="1" ht="36" customHeight="1" spans="1:8">
      <c r="A9" s="40">
        <v>6</v>
      </c>
      <c r="B9" s="199" t="s">
        <v>30</v>
      </c>
      <c r="C9" s="199">
        <v>103.84</v>
      </c>
      <c r="D9" s="199">
        <v>1</v>
      </c>
      <c r="E9" s="200">
        <f>+地下室装修工程!K4</f>
        <v>381879.25</v>
      </c>
      <c r="F9" s="200">
        <f t="shared" si="0"/>
        <v>381879.25</v>
      </c>
      <c r="G9" s="200">
        <f t="shared" si="1"/>
        <v>3677.57367103236</v>
      </c>
      <c r="H9" s="199"/>
    </row>
    <row r="10" s="190" customFormat="1" ht="36" customHeight="1" spans="1:8">
      <c r="A10" s="40">
        <v>7</v>
      </c>
      <c r="B10" s="199" t="s">
        <v>31</v>
      </c>
      <c r="C10" s="199">
        <v>92.34</v>
      </c>
      <c r="D10" s="199">
        <v>1</v>
      </c>
      <c r="E10" s="200">
        <f>+地下室装修工程!K105</f>
        <v>333461</v>
      </c>
      <c r="F10" s="200">
        <f t="shared" si="0"/>
        <v>333461</v>
      </c>
      <c r="G10" s="200">
        <f t="shared" si="1"/>
        <v>3611.23023608404</v>
      </c>
      <c r="H10" s="199"/>
    </row>
    <row r="11" s="190" customFormat="1" ht="36" customHeight="1" spans="1:8">
      <c r="A11" s="40">
        <v>8</v>
      </c>
      <c r="B11" s="199" t="s">
        <v>32</v>
      </c>
      <c r="C11" s="199">
        <v>77.93</v>
      </c>
      <c r="D11" s="199">
        <v>1</v>
      </c>
      <c r="E11" s="200">
        <f>+地下室装修工程!K204</f>
        <v>307961.71</v>
      </c>
      <c r="F11" s="200">
        <f t="shared" si="0"/>
        <v>307961.71</v>
      </c>
      <c r="G11" s="200">
        <f t="shared" si="1"/>
        <v>3951.77351469267</v>
      </c>
      <c r="H11" s="199"/>
    </row>
    <row r="12" s="190" customFormat="1" ht="36" customHeight="1" spans="1:8">
      <c r="A12" s="40">
        <v>9</v>
      </c>
      <c r="B12" s="199" t="s">
        <v>33</v>
      </c>
      <c r="C12" s="199">
        <f>2.34*2</f>
        <v>4.68</v>
      </c>
      <c r="D12" s="199">
        <v>4</v>
      </c>
      <c r="E12" s="200">
        <f>+电梯轿厢装修工程!K44</f>
        <v>36427.25</v>
      </c>
      <c r="F12" s="200">
        <f t="shared" si="0"/>
        <v>145709</v>
      </c>
      <c r="G12" s="200">
        <f t="shared" si="1"/>
        <v>7783.60042735043</v>
      </c>
      <c r="H12" s="199" t="s">
        <v>34</v>
      </c>
    </row>
    <row r="13" s="190" customFormat="1" ht="36" customHeight="1" spans="1:8">
      <c r="A13" s="40">
        <v>10</v>
      </c>
      <c r="B13" s="199" t="s">
        <v>35</v>
      </c>
      <c r="C13" s="199">
        <f>C4+C5+C6*D6+C7+C8+C9+C10+C11+C12*D12</f>
        <v>3700.17</v>
      </c>
      <c r="D13" s="199">
        <v>1</v>
      </c>
      <c r="E13" s="200">
        <f>会所安装工程量清单!K223</f>
        <v>725019.92</v>
      </c>
      <c r="F13" s="200">
        <f t="shared" si="0"/>
        <v>725019.92</v>
      </c>
      <c r="G13" s="200">
        <f t="shared" si="1"/>
        <v>195.942326974166</v>
      </c>
      <c r="H13" s="199"/>
    </row>
    <row r="14" s="190" customFormat="1" ht="36" customHeight="1" spans="1:8">
      <c r="A14" s="40">
        <v>11</v>
      </c>
      <c r="B14" s="199" t="s">
        <v>36</v>
      </c>
      <c r="C14" s="199">
        <f>C13</f>
        <v>3700.17</v>
      </c>
      <c r="D14" s="199">
        <v>1</v>
      </c>
      <c r="E14" s="200">
        <f>+措施费!K7</f>
        <v>140606.46</v>
      </c>
      <c r="F14" s="200">
        <f t="shared" si="0"/>
        <v>140606.46</v>
      </c>
      <c r="G14" s="200">
        <f t="shared" si="1"/>
        <v>38</v>
      </c>
      <c r="H14" s="199"/>
    </row>
    <row r="15" s="190" customFormat="1" ht="36" customHeight="1" spans="1:8">
      <c r="A15" s="40">
        <v>12</v>
      </c>
      <c r="B15" s="199" t="s">
        <v>37</v>
      </c>
      <c r="C15" s="199">
        <f>+$C$14</f>
        <v>3700.17</v>
      </c>
      <c r="D15" s="199"/>
      <c r="E15" s="200"/>
      <c r="F15" s="200">
        <f>SUM(F4:F14)</f>
        <v>12928165.92</v>
      </c>
      <c r="G15" s="200">
        <f t="shared" si="1"/>
        <v>0</v>
      </c>
      <c r="H15" s="199"/>
    </row>
    <row r="16" s="190" customFormat="1" ht="36" customHeight="1" spans="1:8">
      <c r="A16" s="40">
        <v>13</v>
      </c>
      <c r="B16" s="199" t="s">
        <v>38</v>
      </c>
      <c r="C16" s="199">
        <f>+$C$14</f>
        <v>3700.17</v>
      </c>
      <c r="D16" s="199"/>
      <c r="E16" s="200"/>
      <c r="F16" s="200">
        <f>+F15*9%</f>
        <v>1163534.9328</v>
      </c>
      <c r="G16" s="200">
        <f t="shared" si="1"/>
        <v>0</v>
      </c>
      <c r="H16" s="199"/>
    </row>
    <row r="17" s="191" customFormat="1" ht="36" customHeight="1" spans="1:13">
      <c r="A17" s="40"/>
      <c r="B17" s="199" t="s">
        <v>39</v>
      </c>
      <c r="C17" s="199">
        <f>+$C$14</f>
        <v>3700.17</v>
      </c>
      <c r="D17" s="199"/>
      <c r="E17" s="200"/>
      <c r="F17" s="200">
        <f>+F15+F16</f>
        <v>14091700.8528</v>
      </c>
      <c r="G17" s="200">
        <f t="shared" si="1"/>
        <v>0</v>
      </c>
      <c r="H17" s="199"/>
      <c r="J17" s="190"/>
      <c r="M17" s="190"/>
    </row>
    <row r="18" s="191" customFormat="1" ht="28" customHeight="1" spans="1:13">
      <c r="B18" s="192"/>
      <c r="E18" s="193"/>
      <c r="F18" s="193"/>
      <c r="G18" s="193"/>
      <c r="H18" s="194"/>
      <c r="J18" s="190"/>
      <c r="M18" s="190"/>
    </row>
    <row r="19" s="191" customFormat="1" ht="18.75" customHeight="1" spans="1:13">
      <c r="B19" s="192"/>
      <c r="E19" s="201"/>
      <c r="F19" s="201"/>
      <c r="G19" s="193"/>
      <c r="H19" s="194"/>
      <c r="J19" s="190"/>
      <c r="M19" s="190"/>
    </row>
    <row r="20" s="191" customFormat="1" ht="29" customHeight="1" spans="1:13">
      <c r="B20" s="192"/>
      <c r="E20" s="193"/>
      <c r="F20" s="193"/>
      <c r="G20" s="193"/>
      <c r="H20" s="194"/>
      <c r="J20" s="190"/>
      <c r="M20" s="190"/>
    </row>
    <row r="21" spans="1:13">
      <c r="J21" s="190"/>
      <c r="M21" s="190"/>
    </row>
    <row r="22" spans="1:13">
      <c r="J22" s="190"/>
      <c r="M22" s="190"/>
    </row>
    <row r="23" spans="1:13">
      <c r="J23" s="190"/>
      <c r="M23" s="190"/>
    </row>
    <row r="24" spans="1:13">
      <c r="J24" s="190"/>
      <c r="M24" s="190"/>
    </row>
    <row r="25" spans="1:13">
      <c r="J25" s="190"/>
      <c r="M25" s="190"/>
    </row>
    <row r="26" spans="1:13">
      <c r="J26" s="190"/>
      <c r="M26" s="190"/>
    </row>
    <row r="27" spans="1:13">
      <c r="J27" s="190"/>
      <c r="M27" s="190"/>
    </row>
    <row r="28" spans="1:13">
      <c r="J28" s="190"/>
      <c r="M28" s="190"/>
    </row>
    <row r="29" spans="1:13">
      <c r="J29" s="190"/>
      <c r="M29" s="190"/>
    </row>
    <row r="30" spans="1:13">
      <c r="J30" s="190"/>
      <c r="M30" s="190"/>
    </row>
    <row r="31" spans="1:13">
      <c r="J31" s="190"/>
      <c r="M31" s="190"/>
    </row>
    <row r="32" spans="1:13">
      <c r="J32" s="190"/>
      <c r="M32" s="190"/>
    </row>
    <row r="33" spans="10:13">
      <c r="J33" s="190"/>
      <c r="M33" s="190"/>
    </row>
    <row r="34" spans="10:13">
      <c r="J34" s="190"/>
      <c r="M34" s="190"/>
    </row>
    <row r="35" spans="10:13">
      <c r="J35" s="190"/>
      <c r="M35" s="190"/>
    </row>
    <row r="36" spans="10:13">
      <c r="J36" s="190"/>
      <c r="M36" s="190"/>
    </row>
    <row r="37" spans="10:13">
      <c r="J37" s="190"/>
      <c r="M37" s="190"/>
    </row>
    <row r="38" spans="10:13">
      <c r="M38" s="190"/>
    </row>
    <row r="39" spans="10:13">
      <c r="M39" s="190"/>
    </row>
    <row r="40" spans="10:13">
      <c r="M40" s="190"/>
    </row>
    <row r="41" spans="10:13">
      <c r="M41" s="190"/>
    </row>
    <row r="42" spans="10:13">
      <c r="M42" s="190"/>
    </row>
    <row r="43" spans="10:13">
      <c r="M43" s="190"/>
    </row>
    <row r="44" spans="10:13">
      <c r="M44" s="190"/>
    </row>
    <row r="45" spans="10:13">
      <c r="M45" s="190"/>
    </row>
    <row r="46" spans="10:13">
      <c r="M46" s="190"/>
    </row>
    <row r="47" spans="10:13">
      <c r="M47" s="190"/>
    </row>
    <row r="48" spans="10:13">
      <c r="M48" s="190"/>
    </row>
    <row r="49" spans="13:13">
      <c r="M49" s="190"/>
    </row>
    <row r="50" spans="13:13">
      <c r="M50" s="190"/>
    </row>
    <row r="51" spans="13:13">
      <c r="M51" s="190"/>
    </row>
    <row r="52" spans="13:13">
      <c r="M52" s="190"/>
    </row>
    <row r="53" spans="13:13">
      <c r="M53" s="190"/>
    </row>
    <row r="54" spans="13:13">
      <c r="M54" s="190"/>
    </row>
    <row r="55" spans="13:13">
      <c r="M55" s="190"/>
    </row>
    <row r="56" spans="13:13">
      <c r="M56" s="190"/>
    </row>
    <row r="57" spans="13:13">
      <c r="M57" s="190"/>
    </row>
    <row r="58" spans="13:13">
      <c r="M58" s="190"/>
    </row>
    <row r="59" spans="13:13">
      <c r="M59" s="190"/>
    </row>
    <row r="60" spans="13:13">
      <c r="M60" s="190"/>
    </row>
    <row r="61" spans="13:13">
      <c r="M61" s="190"/>
    </row>
    <row r="62" spans="13:13">
      <c r="M62" s="190"/>
    </row>
    <row r="63" spans="13:13">
      <c r="M63" s="190"/>
    </row>
    <row r="64" spans="13:13">
      <c r="M64" s="190"/>
    </row>
    <row r="65" spans="13:13">
      <c r="M65" s="190"/>
    </row>
    <row r="66" spans="13:13">
      <c r="M66" s="190"/>
    </row>
    <row r="67" spans="13:13">
      <c r="M67" s="190"/>
    </row>
    <row r="68" spans="13:13">
      <c r="M68" s="190"/>
    </row>
    <row r="69" spans="13:13">
      <c r="M69" s="190"/>
    </row>
    <row r="70" spans="13:13">
      <c r="M70" s="190"/>
    </row>
    <row r="71" spans="13:13">
      <c r="M71" s="190"/>
    </row>
    <row r="72" spans="13:13">
      <c r="M72" s="190"/>
    </row>
    <row r="73" spans="13:13">
      <c r="M73" s="190"/>
    </row>
    <row r="74" spans="13:13">
      <c r="M74" s="190"/>
    </row>
    <row r="75" spans="13:13">
      <c r="M75" s="190"/>
    </row>
    <row r="76" spans="13:13">
      <c r="M76" s="190"/>
    </row>
    <row r="77" spans="13:13">
      <c r="M77" s="190"/>
    </row>
  </sheetData>
  <mergeCells count="2">
    <mergeCell ref="A1:H1"/>
    <mergeCell ref="A2:H2"/>
  </mergeCells>
  <conditionalFormatting sqref="B3">
    <cfRule type="duplicateValues" dxfId="0" priority="17"/>
  </conditionalFormatting>
  <conditionalFormatting sqref="B14">
    <cfRule type="duplicateValues" dxfId="0" priority="4"/>
  </conditionalFormatting>
  <conditionalFormatting sqref="B17">
    <cfRule type="duplicateValues" dxfId="0" priority="3"/>
  </conditionalFormatting>
  <conditionalFormatting sqref="B4:B8">
    <cfRule type="duplicateValues" dxfId="0" priority="8"/>
  </conditionalFormatting>
  <conditionalFormatting sqref="B9:B13">
    <cfRule type="duplicateValues" dxfId="0" priority="1"/>
  </conditionalFormatting>
  <conditionalFormatting sqref="B15:B16">
    <cfRule type="duplicateValues" dxfId="0" priority="9"/>
  </conditionalFormatting>
  <printOptions horizontalCentered="1"/>
  <pageMargins left="0.472222222222222" right="0.472222222222222" top="0.590277777777778" bottom="0.590277777777778" header="0.393055555555556" footer="0.393055555555556"/>
  <pageSetup paperSize="9" scale="65" fitToHeight="0" orientation="portrait" blackAndWhite="1" horizontalDpi="600"/>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pageSetUpPr fitToPage="1"/>
  </sheetPr>
  <dimension ref="A1:BE1038"/>
  <sheetViews>
    <sheetView view="pageBreakPreview" zoomScaleNormal="100" workbookViewId="0">
      <pane xSplit="4" ySplit="3" topLeftCell="E4" activePane="bottomRight" state="frozen"/>
      <selection/>
      <selection pane="topRight"/>
      <selection pane="bottomLeft"/>
      <selection pane="bottomRight" activeCell="I3" sqref="I3"/>
    </sheetView>
  </sheetViews>
  <sheetFormatPr defaultColWidth="10" defaultRowHeight="12"/>
  <cols>
    <col min="1" max="1" width="6.98333333333333" style="1" customWidth="1"/>
    <col min="2" max="2" width="19.625" style="3" customWidth="1"/>
    <col min="3" max="3" width="36.25" style="1" customWidth="1"/>
    <col min="4" max="4" width="5.63333333333333" style="120" customWidth="1"/>
    <col min="5" max="5" width="12.3833333333333" style="121" customWidth="1"/>
    <col min="6" max="9" width="12.3833333333333" style="121" customWidth="1" outlineLevel="1"/>
    <col min="10" max="10" width="12.6333333333333" style="121" customWidth="1"/>
    <col min="11" max="11" width="15.1333333333333" style="122" customWidth="1"/>
    <col min="12" max="12" width="11.5" style="6" customWidth="1"/>
    <col min="13" max="13" width="6.625" style="124" customWidth="1"/>
    <col min="14" max="14" width="10.375" style="124" customWidth="1"/>
    <col min="15" max="15" width="12.5" style="124" customWidth="1"/>
    <col min="16" max="17" width="10" style="124" customWidth="1"/>
    <col min="18" max="18" width="10" style="125" customWidth="1"/>
    <col min="19" max="24" width="10" style="124" customWidth="1"/>
    <col min="25" max="31" width="10" style="124"/>
    <col min="32" max="57" width="10" style="126"/>
    <col min="58" max="16384" width="10" style="1"/>
  </cols>
  <sheetData>
    <row r="1" s="1" customFormat="1" ht="48" customHeight="1" spans="1:57">
      <c r="A1" s="7" t="s">
        <v>40</v>
      </c>
      <c r="M1" s="124"/>
      <c r="N1" s="124"/>
      <c r="O1" s="124"/>
      <c r="P1" s="38"/>
      <c r="Q1" s="37">
        <v>1</v>
      </c>
      <c r="R1" s="127"/>
      <c r="S1" s="37">
        <v>1</v>
      </c>
      <c r="T1" s="37">
        <v>1</v>
      </c>
      <c r="U1" s="38"/>
      <c r="V1" s="38"/>
      <c r="W1" s="124"/>
      <c r="X1" s="124"/>
      <c r="Y1" s="124"/>
      <c r="Z1" s="124"/>
      <c r="AA1" s="124"/>
      <c r="AB1" s="124"/>
      <c r="AC1" s="124"/>
      <c r="AD1" s="124"/>
      <c r="AE1" s="124"/>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row>
    <row r="2" s="2" customFormat="1" ht="24" customHeight="1" spans="1:57">
      <c r="A2" s="8" t="s">
        <v>17</v>
      </c>
      <c r="B2" s="8" t="s">
        <v>41</v>
      </c>
      <c r="C2" s="8" t="s">
        <v>42</v>
      </c>
      <c r="D2" s="8" t="s">
        <v>43</v>
      </c>
      <c r="E2" s="9" t="s">
        <v>44</v>
      </c>
      <c r="F2" s="10" t="s">
        <v>45</v>
      </c>
      <c r="G2" s="10" t="s">
        <v>46</v>
      </c>
      <c r="H2" s="10" t="s">
        <v>47</v>
      </c>
      <c r="I2" s="10" t="s">
        <v>48</v>
      </c>
      <c r="J2" s="10" t="s">
        <v>49</v>
      </c>
      <c r="K2" s="11" t="s">
        <v>50</v>
      </c>
      <c r="L2" s="8" t="s">
        <v>24</v>
      </c>
      <c r="M2" s="130" t="s">
        <v>51</v>
      </c>
      <c r="N2" s="130"/>
      <c r="O2" s="130"/>
      <c r="P2" s="44" t="s">
        <v>52</v>
      </c>
      <c r="Q2" s="128"/>
      <c r="R2" s="129"/>
      <c r="S2" s="128"/>
      <c r="T2" s="128"/>
      <c r="U2" s="128"/>
      <c r="V2" s="128"/>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row>
    <row r="3" s="2" customFormat="1" ht="22" customHeight="1" spans="1:57">
      <c r="A3" s="12"/>
      <c r="B3" s="12"/>
      <c r="C3" s="12"/>
      <c r="D3" s="12"/>
      <c r="E3" s="12"/>
      <c r="F3" s="12"/>
      <c r="G3" s="12"/>
      <c r="H3" s="12"/>
      <c r="I3" s="45">
        <v>0.1</v>
      </c>
      <c r="J3" s="12"/>
      <c r="K3" s="12"/>
      <c r="L3" s="12"/>
      <c r="M3" s="130">
        <v>1</v>
      </c>
      <c r="N3" s="130">
        <v>2</v>
      </c>
      <c r="O3" s="130"/>
      <c r="P3" s="46" t="s">
        <v>52</v>
      </c>
      <c r="Q3" s="46" t="s">
        <v>46</v>
      </c>
      <c r="R3" s="131" t="s">
        <v>53</v>
      </c>
      <c r="S3" s="46" t="s">
        <v>45</v>
      </c>
      <c r="T3" s="46" t="s">
        <v>54</v>
      </c>
      <c r="U3" s="46" t="s">
        <v>55</v>
      </c>
      <c r="V3" s="46" t="s">
        <v>56</v>
      </c>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row>
    <row r="4" s="119" customFormat="1" ht="24" customHeight="1" spans="1:57">
      <c r="A4" s="132" t="s">
        <v>57</v>
      </c>
      <c r="B4" s="8" t="s">
        <v>25</v>
      </c>
      <c r="C4" s="8"/>
      <c r="D4" s="133"/>
      <c r="E4" s="134"/>
      <c r="F4" s="134"/>
      <c r="G4" s="134"/>
      <c r="H4" s="134"/>
      <c r="I4" s="134"/>
      <c r="J4" s="134"/>
      <c r="K4" s="11">
        <f>SUM(K5:K167)</f>
        <v>1153893.57</v>
      </c>
      <c r="L4" s="135"/>
      <c r="M4" s="139"/>
      <c r="N4" s="139"/>
      <c r="O4" s="139"/>
      <c r="P4" s="137"/>
      <c r="Q4" s="137"/>
      <c r="R4" s="138"/>
      <c r="S4" s="137"/>
      <c r="T4" s="137"/>
      <c r="U4" s="137"/>
      <c r="V4" s="137"/>
      <c r="W4" s="139"/>
      <c r="X4" s="139"/>
      <c r="Y4" s="139"/>
      <c r="Z4" s="139"/>
      <c r="AA4" s="139"/>
      <c r="AB4" s="139"/>
      <c r="AC4" s="139"/>
      <c r="AD4" s="139"/>
      <c r="AE4" s="139"/>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row>
    <row r="5" s="119" customFormat="1" ht="24" customHeight="1" outlineLevel="1" spans="1:57">
      <c r="A5" s="132" t="s">
        <v>58</v>
      </c>
      <c r="B5" s="8" t="s">
        <v>59</v>
      </c>
      <c r="C5" s="8"/>
      <c r="D5" s="133"/>
      <c r="E5" s="134"/>
      <c r="F5" s="134"/>
      <c r="G5" s="134"/>
      <c r="H5" s="134"/>
      <c r="I5" s="134"/>
      <c r="J5" s="134"/>
      <c r="K5" s="11"/>
      <c r="L5" s="135"/>
      <c r="M5" s="139"/>
      <c r="N5" s="139"/>
      <c r="O5" s="139" t="str">
        <f>_xlfn.DISPIMG("ID_7F15BB9A08234B43B10CC616E0663C90",1)</f>
        <v>=DISPIMG("ID_7F15BB9A08234B43B10CC616E0663C90",1)</v>
      </c>
      <c r="P5" s="137"/>
      <c r="Q5" s="137"/>
      <c r="R5" s="138"/>
      <c r="S5" s="137"/>
      <c r="T5" s="137"/>
      <c r="U5" s="137"/>
      <c r="V5" s="137"/>
      <c r="W5" s="139"/>
      <c r="X5" s="139"/>
      <c r="Y5" s="139"/>
      <c r="Z5" s="139"/>
      <c r="AA5" s="139"/>
      <c r="AB5" s="139"/>
      <c r="AC5" s="139"/>
      <c r="AD5" s="139"/>
      <c r="AE5" s="139"/>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row>
    <row r="6" s="119" customFormat="1" ht="24" customHeight="1" outlineLevel="1" spans="1:57">
      <c r="A6" s="141"/>
      <c r="B6" s="14" t="s">
        <v>60</v>
      </c>
      <c r="C6" s="15"/>
      <c r="D6" s="142"/>
      <c r="E6" s="143"/>
      <c r="F6" s="143"/>
      <c r="G6" s="143"/>
      <c r="H6" s="143"/>
      <c r="I6" s="143"/>
      <c r="J6" s="143"/>
      <c r="K6" s="144"/>
      <c r="L6" s="135"/>
      <c r="M6" s="139"/>
      <c r="N6" s="139"/>
      <c r="O6" s="139"/>
      <c r="P6" s="137"/>
      <c r="Q6" s="137"/>
      <c r="R6" s="138"/>
      <c r="S6" s="137"/>
      <c r="T6" s="137"/>
      <c r="U6" s="137"/>
      <c r="V6" s="137"/>
      <c r="W6" s="139"/>
      <c r="X6" s="139"/>
      <c r="Y6" s="139"/>
      <c r="Z6" s="139"/>
      <c r="AA6" s="139"/>
      <c r="AB6" s="139"/>
      <c r="AC6" s="139"/>
      <c r="AD6" s="139"/>
      <c r="AE6" s="139"/>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row>
    <row r="7" s="119" customFormat="1" ht="96" customHeight="1" outlineLevel="2" spans="1:57">
      <c r="A7" s="145">
        <f>1+N(A6)</f>
        <v>1</v>
      </c>
      <c r="B7" s="146" t="s">
        <v>61</v>
      </c>
      <c r="C7" s="147" t="s">
        <v>62</v>
      </c>
      <c r="D7" s="148" t="s">
        <v>63</v>
      </c>
      <c r="E7" s="149">
        <v>18.57</v>
      </c>
      <c r="F7" s="149">
        <f>S7*$S$1</f>
        <v>130</v>
      </c>
      <c r="G7" s="149">
        <f>Q7*(1+R7)*$Q$1</f>
        <v>628.3</v>
      </c>
      <c r="H7" s="150">
        <f>(T7+U7)*$T$1</f>
        <v>47.7</v>
      </c>
      <c r="I7" s="150">
        <f>(F7+G7+H7)*$I$3</f>
        <v>80.6</v>
      </c>
      <c r="J7" s="151">
        <f>ROUND(SUM(F7:I7),2)</f>
        <v>886.6</v>
      </c>
      <c r="K7" s="152">
        <f>ROUND(J7*E7,2)</f>
        <v>16464.16</v>
      </c>
      <c r="L7" s="153"/>
      <c r="M7" s="139">
        <v>1</v>
      </c>
      <c r="N7" s="139"/>
      <c r="O7" s="139"/>
      <c r="P7" s="37">
        <f>Q7+Q7*R7+S7+T7+U7</f>
        <v>806</v>
      </c>
      <c r="Q7" s="71">
        <v>610</v>
      </c>
      <c r="R7" s="157">
        <v>0.03</v>
      </c>
      <c r="S7" s="71">
        <v>130</v>
      </c>
      <c r="T7" s="71">
        <v>46.2</v>
      </c>
      <c r="U7" s="71">
        <v>1.5</v>
      </c>
      <c r="V7" s="37">
        <f>P7*E7</f>
        <v>14967.42</v>
      </c>
      <c r="W7" s="139"/>
      <c r="X7" s="139"/>
      <c r="Y7" s="139"/>
      <c r="Z7" s="139"/>
      <c r="AA7" s="139"/>
      <c r="AB7" s="139"/>
      <c r="AC7" s="139"/>
      <c r="AD7" s="139"/>
      <c r="AE7" s="139"/>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row>
    <row r="8" s="119" customFormat="1" ht="108" customHeight="1" outlineLevel="2" spans="1:57">
      <c r="A8" s="145">
        <f>1+N(A7)</f>
        <v>2</v>
      </c>
      <c r="B8" s="146" t="s">
        <v>64</v>
      </c>
      <c r="C8" s="147" t="s">
        <v>65</v>
      </c>
      <c r="D8" s="148" t="s">
        <v>63</v>
      </c>
      <c r="E8" s="149">
        <v>10.62</v>
      </c>
      <c r="F8" s="149">
        <f>S8*$S$1</f>
        <v>130</v>
      </c>
      <c r="G8" s="149">
        <f>Q8*(1+R8)*$Q$1</f>
        <v>854.9</v>
      </c>
      <c r="H8" s="149">
        <f>(T8+U8)*$T$1</f>
        <v>47.7</v>
      </c>
      <c r="I8" s="150">
        <f>(F8+G8+H8)*$I$3</f>
        <v>103.26</v>
      </c>
      <c r="J8" s="151">
        <f>ROUND(SUM(F8:I8),2)</f>
        <v>1135.86</v>
      </c>
      <c r="K8" s="152">
        <f>ROUND(J8*E8,2)</f>
        <v>12062.83</v>
      </c>
      <c r="L8" s="153"/>
      <c r="M8" s="139">
        <v>1</v>
      </c>
      <c r="N8" s="139"/>
      <c r="O8" s="139"/>
      <c r="P8" s="37">
        <f>Q8+Q8*R8+S8+T8+U8</f>
        <v>1032.6</v>
      </c>
      <c r="Q8" s="71">
        <v>830</v>
      </c>
      <c r="R8" s="157">
        <v>0.03</v>
      </c>
      <c r="S8" s="71">
        <v>130</v>
      </c>
      <c r="T8" s="71">
        <v>46.2</v>
      </c>
      <c r="U8" s="71">
        <v>1.5</v>
      </c>
      <c r="V8" s="37">
        <f>P8*E8</f>
        <v>10966.212</v>
      </c>
      <c r="W8" s="139"/>
      <c r="X8" s="139"/>
      <c r="Y8" s="139"/>
      <c r="Z8" s="139"/>
      <c r="AA8" s="139"/>
      <c r="AB8" s="139"/>
      <c r="AC8" s="139"/>
      <c r="AD8" s="139"/>
      <c r="AE8" s="139"/>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row>
    <row r="9" s="119" customFormat="1" ht="96" customHeight="1" outlineLevel="2" spans="1:57">
      <c r="A9" s="145">
        <f>1+N(A8)</f>
        <v>3</v>
      </c>
      <c r="B9" s="146" t="s">
        <v>66</v>
      </c>
      <c r="C9" s="147" t="s">
        <v>67</v>
      </c>
      <c r="D9" s="148" t="s">
        <v>63</v>
      </c>
      <c r="E9" s="149">
        <v>2.58</v>
      </c>
      <c r="F9" s="149">
        <f>S9*$S$1</f>
        <v>77</v>
      </c>
      <c r="G9" s="149">
        <f>Q9*(1+R9)*$Q$1</f>
        <v>56.65</v>
      </c>
      <c r="H9" s="150">
        <f>(T9+U9)*$T$1</f>
        <v>50.6</v>
      </c>
      <c r="I9" s="150">
        <f>(F9+G9+H9)*$I$3</f>
        <v>18.425</v>
      </c>
      <c r="J9" s="151">
        <f>ROUND(SUM(F9:I9),2)</f>
        <v>202.68</v>
      </c>
      <c r="K9" s="152">
        <f>ROUND(J9*E9,2)</f>
        <v>522.91</v>
      </c>
      <c r="L9" s="153"/>
      <c r="M9" s="139">
        <v>1</v>
      </c>
      <c r="N9" s="139"/>
      <c r="O9" s="139"/>
      <c r="P9" s="37">
        <f>Q9+Q9*R9+S9+T9+U9</f>
        <v>184.25</v>
      </c>
      <c r="Q9" s="71">
        <v>55</v>
      </c>
      <c r="R9" s="157">
        <v>0.03</v>
      </c>
      <c r="S9" s="71">
        <v>77</v>
      </c>
      <c r="T9" s="71">
        <v>50.1</v>
      </c>
      <c r="U9" s="71">
        <v>0.5</v>
      </c>
      <c r="V9" s="37">
        <f>P9*E9</f>
        <v>475.365</v>
      </c>
      <c r="W9" s="139"/>
      <c r="X9" s="139"/>
      <c r="Y9" s="139"/>
      <c r="Z9" s="139"/>
      <c r="AA9" s="139"/>
      <c r="AB9" s="139"/>
      <c r="AC9" s="139"/>
      <c r="AD9" s="139"/>
      <c r="AE9" s="139"/>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row>
    <row r="10" s="119" customFormat="1" ht="36" customHeight="1" outlineLevel="2" spans="1:57">
      <c r="A10" s="145">
        <f>1+N(A9)</f>
        <v>4</v>
      </c>
      <c r="B10" s="146" t="s">
        <v>68</v>
      </c>
      <c r="C10" s="147" t="s">
        <v>69</v>
      </c>
      <c r="D10" s="148" t="s">
        <v>70</v>
      </c>
      <c r="E10" s="149">
        <v>12.77</v>
      </c>
      <c r="F10" s="149">
        <f>S10*$S$1</f>
        <v>12</v>
      </c>
      <c r="G10" s="149">
        <f>Q10*(1+R10)*$Q$1</f>
        <v>19.57</v>
      </c>
      <c r="H10" s="149">
        <f>(T10+U10)*$T$1</f>
        <v>0.5</v>
      </c>
      <c r="I10" s="150">
        <f>(F10+G10+H10)*$I$3</f>
        <v>3.207</v>
      </c>
      <c r="J10" s="151">
        <f>ROUND(SUM(F10:I10),2)</f>
        <v>35.28</v>
      </c>
      <c r="K10" s="152">
        <f>ROUND(J10*E10,2)</f>
        <v>450.53</v>
      </c>
      <c r="L10" s="153"/>
      <c r="M10" s="139">
        <v>1</v>
      </c>
      <c r="N10" s="139"/>
      <c r="O10" s="139"/>
      <c r="P10" s="37">
        <f>Q10+Q10*R10+S10+T10+U10</f>
        <v>32.07</v>
      </c>
      <c r="Q10" s="71">
        <v>19</v>
      </c>
      <c r="R10" s="157">
        <v>0.03</v>
      </c>
      <c r="S10" s="71">
        <v>12</v>
      </c>
      <c r="T10" s="71">
        <v>0.3</v>
      </c>
      <c r="U10" s="71">
        <v>0.2</v>
      </c>
      <c r="V10" s="37">
        <f>P10*E10</f>
        <v>409.5339</v>
      </c>
      <c r="W10" s="139"/>
      <c r="X10" s="139"/>
      <c r="Y10" s="139"/>
      <c r="Z10" s="139"/>
      <c r="AA10" s="139"/>
      <c r="AB10" s="139"/>
      <c r="AC10" s="139"/>
      <c r="AD10" s="139"/>
      <c r="AE10" s="139"/>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row>
    <row r="11" s="119" customFormat="1" ht="48" customHeight="1" outlineLevel="2" spans="1:57">
      <c r="A11" s="145">
        <f>1+N(A10)</f>
        <v>5</v>
      </c>
      <c r="B11" s="146" t="s">
        <v>71</v>
      </c>
      <c r="C11" s="147" t="s">
        <v>72</v>
      </c>
      <c r="D11" s="148" t="s">
        <v>63</v>
      </c>
      <c r="E11" s="149">
        <v>14.77</v>
      </c>
      <c r="F11" s="149">
        <f>S11*$S$1</f>
        <v>40</v>
      </c>
      <c r="G11" s="149">
        <f>Q11*(1+R11)*$Q$1</f>
        <v>15</v>
      </c>
      <c r="H11" s="149">
        <f>(T11+U11)*$T$1</f>
        <v>0.8</v>
      </c>
      <c r="I11" s="150">
        <f>(F11+G11+H11)*$I$3</f>
        <v>5.58</v>
      </c>
      <c r="J11" s="151">
        <f>ROUND(SUM(F11:I11),2)</f>
        <v>61.38</v>
      </c>
      <c r="K11" s="152">
        <f>ROUND(J11*E11,2)</f>
        <v>906.58</v>
      </c>
      <c r="L11" s="153"/>
      <c r="M11" s="139">
        <v>1</v>
      </c>
      <c r="N11" s="139"/>
      <c r="O11" s="139"/>
      <c r="P11" s="37">
        <f>Q11+Q11*R11+S11+T11+U11</f>
        <v>55.8</v>
      </c>
      <c r="Q11" s="71">
        <v>15</v>
      </c>
      <c r="R11" s="157">
        <v>0</v>
      </c>
      <c r="S11" s="71">
        <v>40</v>
      </c>
      <c r="T11" s="71">
        <v>0.5</v>
      </c>
      <c r="U11" s="71">
        <v>0.3</v>
      </c>
      <c r="V11" s="37">
        <f>P11*E11</f>
        <v>824.166</v>
      </c>
      <c r="W11" s="139"/>
      <c r="X11" s="139"/>
      <c r="Y11" s="139"/>
      <c r="Z11" s="139"/>
      <c r="AA11" s="139"/>
      <c r="AB11" s="139"/>
      <c r="AC11" s="139"/>
      <c r="AD11" s="139"/>
      <c r="AE11" s="139"/>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row>
    <row r="12" s="119" customFormat="1" ht="24" customHeight="1" outlineLevel="1" spans="1:57">
      <c r="A12" s="141"/>
      <c r="B12" s="14" t="s">
        <v>73</v>
      </c>
      <c r="C12" s="15"/>
      <c r="D12" s="142"/>
      <c r="E12" s="143"/>
      <c r="F12" s="143"/>
      <c r="G12" s="143"/>
      <c r="H12" s="143"/>
      <c r="I12" s="143"/>
      <c r="J12" s="143"/>
      <c r="K12" s="144"/>
      <c r="L12" s="135"/>
      <c r="M12" s="139"/>
      <c r="N12" s="139"/>
      <c r="O12" s="139"/>
      <c r="P12" s="137"/>
      <c r="Q12" s="137"/>
      <c r="R12" s="138"/>
      <c r="S12" s="137"/>
      <c r="T12" s="137"/>
      <c r="U12" s="137"/>
      <c r="V12" s="137"/>
      <c r="W12" s="139"/>
      <c r="X12" s="139"/>
      <c r="Y12" s="139"/>
      <c r="Z12" s="139"/>
      <c r="AA12" s="139"/>
      <c r="AB12" s="139"/>
      <c r="AC12" s="139"/>
      <c r="AD12" s="139"/>
      <c r="AE12" s="139"/>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row>
    <row r="13" s="119" customFormat="1" ht="72" customHeight="1" outlineLevel="2" spans="1:57">
      <c r="A13" s="145">
        <f t="shared" ref="A13:A26" si="0">1+N(A12)</f>
        <v>1</v>
      </c>
      <c r="B13" s="158" t="s">
        <v>74</v>
      </c>
      <c r="C13" s="147" t="s">
        <v>75</v>
      </c>
      <c r="D13" s="148" t="s">
        <v>63</v>
      </c>
      <c r="E13" s="149">
        <v>12.933</v>
      </c>
      <c r="F13" s="149">
        <f t="shared" ref="F13:F26" si="1">S13*$S$1</f>
        <v>95</v>
      </c>
      <c r="G13" s="149">
        <f t="shared" ref="G13:G26" si="2">Q13*(1+R13)*$Q$1</f>
        <v>813.75</v>
      </c>
      <c r="H13" s="149">
        <f t="shared" ref="H13:H26" si="3">(T13+U13)*$T$1</f>
        <v>18.3</v>
      </c>
      <c r="I13" s="150">
        <f t="shared" ref="I13:I26" si="4">(F13+G13+H13)*$I$3</f>
        <v>92.705</v>
      </c>
      <c r="J13" s="151">
        <f t="shared" ref="J13:J26" si="5">ROUND(SUM(F13:I13),2)</f>
        <v>1019.76</v>
      </c>
      <c r="K13" s="152">
        <f t="shared" ref="K13:K26" si="6">ROUND(J13*E13,2)</f>
        <v>13188.56</v>
      </c>
      <c r="L13" s="153"/>
      <c r="M13" s="139">
        <v>1</v>
      </c>
      <c r="N13" s="139"/>
      <c r="O13" s="139"/>
      <c r="P13" s="37">
        <f t="shared" ref="P13:P26" si="7">Q13+Q13*R13+S13+T13+U13</f>
        <v>927.05</v>
      </c>
      <c r="Q13" s="71">
        <v>775</v>
      </c>
      <c r="R13" s="157">
        <v>0.05</v>
      </c>
      <c r="S13" s="71">
        <v>95</v>
      </c>
      <c r="T13" s="71">
        <v>16.8</v>
      </c>
      <c r="U13" s="71">
        <v>1.5</v>
      </c>
      <c r="V13" s="37">
        <f t="shared" ref="V13:V26" si="8">P13*E13</f>
        <v>11989.53765</v>
      </c>
      <c r="W13" s="139"/>
      <c r="X13" s="139"/>
      <c r="Y13" s="139"/>
      <c r="Z13" s="139"/>
      <c r="AA13" s="139"/>
      <c r="AB13" s="139"/>
      <c r="AC13" s="139"/>
      <c r="AD13" s="139"/>
      <c r="AE13" s="139"/>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row>
    <row r="14" s="119" customFormat="1" ht="96" customHeight="1" outlineLevel="2" spans="1:57">
      <c r="A14" s="145">
        <f t="shared" si="0"/>
        <v>2</v>
      </c>
      <c r="B14" s="159" t="s">
        <v>76</v>
      </c>
      <c r="C14" s="160" t="s">
        <v>77</v>
      </c>
      <c r="D14" s="148" t="s">
        <v>63</v>
      </c>
      <c r="E14" s="149">
        <f>58.817+0.727</f>
        <v>59.544</v>
      </c>
      <c r="F14" s="149">
        <f t="shared" si="1"/>
        <v>145</v>
      </c>
      <c r="G14" s="149">
        <f t="shared" si="2"/>
        <v>651</v>
      </c>
      <c r="H14" s="149">
        <f t="shared" si="3"/>
        <v>113.55</v>
      </c>
      <c r="I14" s="150">
        <f t="shared" si="4"/>
        <v>90.955</v>
      </c>
      <c r="J14" s="151">
        <f t="shared" si="5"/>
        <v>1000.51</v>
      </c>
      <c r="K14" s="152">
        <f t="shared" si="6"/>
        <v>59574.37</v>
      </c>
      <c r="L14" s="153"/>
      <c r="M14" s="139">
        <v>1</v>
      </c>
      <c r="N14" s="139"/>
      <c r="O14" s="139"/>
      <c r="P14" s="37">
        <f t="shared" si="7"/>
        <v>909.55</v>
      </c>
      <c r="Q14" s="71">
        <v>620</v>
      </c>
      <c r="R14" s="157">
        <v>0.05</v>
      </c>
      <c r="S14" s="71">
        <v>145</v>
      </c>
      <c r="T14" s="71">
        <v>111.75</v>
      </c>
      <c r="U14" s="71">
        <v>1.8</v>
      </c>
      <c r="V14" s="37">
        <f t="shared" si="8"/>
        <v>54158.2452</v>
      </c>
      <c r="W14" s="139"/>
      <c r="X14" s="139"/>
      <c r="Y14" s="139"/>
      <c r="Z14" s="139"/>
      <c r="AA14" s="139"/>
      <c r="AB14" s="139"/>
      <c r="AC14" s="139"/>
      <c r="AD14" s="139"/>
      <c r="AE14" s="139"/>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row>
    <row r="15" s="119" customFormat="1" ht="96" customHeight="1" outlineLevel="2" spans="1:57">
      <c r="A15" s="145">
        <f t="shared" si="0"/>
        <v>3</v>
      </c>
      <c r="B15" s="159" t="s">
        <v>78</v>
      </c>
      <c r="C15" s="160" t="s">
        <v>79</v>
      </c>
      <c r="D15" s="148" t="s">
        <v>63</v>
      </c>
      <c r="E15" s="149">
        <v>2.91</v>
      </c>
      <c r="F15" s="149">
        <f t="shared" si="1"/>
        <v>145</v>
      </c>
      <c r="G15" s="149">
        <f t="shared" si="2"/>
        <v>813.75</v>
      </c>
      <c r="H15" s="149">
        <f t="shared" si="3"/>
        <v>113.55</v>
      </c>
      <c r="I15" s="150">
        <f t="shared" si="4"/>
        <v>107.23</v>
      </c>
      <c r="J15" s="151">
        <f t="shared" si="5"/>
        <v>1179.53</v>
      </c>
      <c r="K15" s="152">
        <f t="shared" si="6"/>
        <v>3432.43</v>
      </c>
      <c r="L15" s="153"/>
      <c r="M15" s="139">
        <v>1</v>
      </c>
      <c r="N15" s="139"/>
      <c r="O15" s="139"/>
      <c r="P15" s="37">
        <f t="shared" si="7"/>
        <v>1072.3</v>
      </c>
      <c r="Q15" s="71">
        <v>775</v>
      </c>
      <c r="R15" s="157">
        <v>0.05</v>
      </c>
      <c r="S15" s="71">
        <v>145</v>
      </c>
      <c r="T15" s="71">
        <v>111.75</v>
      </c>
      <c r="U15" s="71">
        <v>1.8</v>
      </c>
      <c r="V15" s="37">
        <f t="shared" si="8"/>
        <v>3120.393</v>
      </c>
      <c r="W15" s="139"/>
      <c r="X15" s="139"/>
      <c r="Y15" s="139"/>
      <c r="Z15" s="139"/>
      <c r="AA15" s="139"/>
      <c r="AB15" s="139"/>
      <c r="AC15" s="139"/>
      <c r="AD15" s="139"/>
      <c r="AE15" s="139"/>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row>
    <row r="16" s="119" customFormat="1" ht="72" customHeight="1" outlineLevel="2" spans="1:57">
      <c r="A16" s="145">
        <f t="shared" si="0"/>
        <v>4</v>
      </c>
      <c r="B16" s="159" t="s">
        <v>80</v>
      </c>
      <c r="C16" s="160" t="s">
        <v>81</v>
      </c>
      <c r="D16" s="159" t="s">
        <v>63</v>
      </c>
      <c r="E16" s="149">
        <f>16.107+1*(3-2)</f>
        <v>17.107</v>
      </c>
      <c r="F16" s="149">
        <f t="shared" si="1"/>
        <v>91.5</v>
      </c>
      <c r="G16" s="149">
        <f t="shared" si="2"/>
        <v>5.555</v>
      </c>
      <c r="H16" s="149">
        <f t="shared" si="3"/>
        <v>56.797</v>
      </c>
      <c r="I16" s="150">
        <f t="shared" si="4"/>
        <v>15.3852</v>
      </c>
      <c r="J16" s="151">
        <f t="shared" si="5"/>
        <v>169.24</v>
      </c>
      <c r="K16" s="152">
        <f t="shared" si="6"/>
        <v>2895.19</v>
      </c>
      <c r="L16" s="153"/>
      <c r="M16" s="139">
        <v>1</v>
      </c>
      <c r="N16" s="139"/>
      <c r="O16" s="139"/>
      <c r="P16" s="37">
        <f t="shared" si="7"/>
        <v>153.852</v>
      </c>
      <c r="Q16" s="71">
        <v>5.5</v>
      </c>
      <c r="R16" s="157">
        <v>0.01</v>
      </c>
      <c r="S16" s="71">
        <v>91.5</v>
      </c>
      <c r="T16" s="71">
        <v>55.997</v>
      </c>
      <c r="U16" s="71">
        <v>0.8</v>
      </c>
      <c r="V16" s="37">
        <f t="shared" si="8"/>
        <v>2631.946164</v>
      </c>
      <c r="W16" s="139"/>
      <c r="X16" s="139"/>
      <c r="Y16" s="139"/>
      <c r="Z16" s="139"/>
      <c r="AA16" s="139"/>
      <c r="AB16" s="139"/>
      <c r="AC16" s="139"/>
      <c r="AD16" s="139"/>
      <c r="AE16" s="139"/>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row>
    <row r="17" s="119" customFormat="1" ht="48" customHeight="1" outlineLevel="2" spans="1:57">
      <c r="A17" s="145">
        <f t="shared" si="0"/>
        <v>5</v>
      </c>
      <c r="B17" s="159" t="s">
        <v>82</v>
      </c>
      <c r="C17" s="160" t="s">
        <v>83</v>
      </c>
      <c r="D17" s="159" t="s">
        <v>63</v>
      </c>
      <c r="E17" s="149">
        <f>0.29*2*2+0.98*0.26</f>
        <v>1.4148</v>
      </c>
      <c r="F17" s="149">
        <f t="shared" si="1"/>
        <v>110</v>
      </c>
      <c r="G17" s="149">
        <f t="shared" si="2"/>
        <v>454.5</v>
      </c>
      <c r="H17" s="149">
        <f t="shared" si="3"/>
        <v>55.2</v>
      </c>
      <c r="I17" s="150">
        <f t="shared" si="4"/>
        <v>61.97</v>
      </c>
      <c r="J17" s="151">
        <f t="shared" si="5"/>
        <v>681.67</v>
      </c>
      <c r="K17" s="152">
        <f t="shared" si="6"/>
        <v>964.43</v>
      </c>
      <c r="L17" s="153"/>
      <c r="M17" s="139">
        <v>1</v>
      </c>
      <c r="N17" s="139"/>
      <c r="O17" s="139"/>
      <c r="P17" s="37">
        <f t="shared" si="7"/>
        <v>619.7</v>
      </c>
      <c r="Q17" s="71">
        <v>450</v>
      </c>
      <c r="R17" s="157">
        <v>0.01</v>
      </c>
      <c r="S17" s="71">
        <v>110</v>
      </c>
      <c r="T17" s="71">
        <v>54</v>
      </c>
      <c r="U17" s="71">
        <v>1.2</v>
      </c>
      <c r="V17" s="37">
        <f t="shared" si="8"/>
        <v>876.75156</v>
      </c>
      <c r="W17" s="139"/>
      <c r="X17" s="139"/>
      <c r="Y17" s="139"/>
      <c r="Z17" s="139"/>
      <c r="AA17" s="139"/>
      <c r="AB17" s="139"/>
      <c r="AC17" s="139"/>
      <c r="AD17" s="139"/>
      <c r="AE17" s="139"/>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row>
    <row r="18" s="119" customFormat="1" ht="48" customHeight="1" outlineLevel="2" spans="1:57">
      <c r="A18" s="145">
        <f t="shared" si="0"/>
        <v>6</v>
      </c>
      <c r="B18" s="159" t="s">
        <v>84</v>
      </c>
      <c r="C18" s="160" t="s">
        <v>83</v>
      </c>
      <c r="D18" s="159" t="s">
        <v>63</v>
      </c>
      <c r="E18" s="149">
        <f>0.296*3*2*2</f>
        <v>3.552</v>
      </c>
      <c r="F18" s="149">
        <f t="shared" si="1"/>
        <v>110</v>
      </c>
      <c r="G18" s="149">
        <f t="shared" si="2"/>
        <v>454.5</v>
      </c>
      <c r="H18" s="149">
        <f t="shared" si="3"/>
        <v>55.2</v>
      </c>
      <c r="I18" s="150">
        <f t="shared" si="4"/>
        <v>61.97</v>
      </c>
      <c r="J18" s="151">
        <f t="shared" si="5"/>
        <v>681.67</v>
      </c>
      <c r="K18" s="152">
        <f t="shared" si="6"/>
        <v>2421.29</v>
      </c>
      <c r="L18" s="153"/>
      <c r="M18" s="139">
        <v>1</v>
      </c>
      <c r="N18" s="139"/>
      <c r="O18" s="139"/>
      <c r="P18" s="37">
        <f t="shared" si="7"/>
        <v>619.7</v>
      </c>
      <c r="Q18" s="71">
        <v>450</v>
      </c>
      <c r="R18" s="157">
        <v>0.01</v>
      </c>
      <c r="S18" s="71">
        <v>110</v>
      </c>
      <c r="T18" s="71">
        <v>54</v>
      </c>
      <c r="U18" s="71">
        <v>1.2</v>
      </c>
      <c r="V18" s="37">
        <f t="shared" si="8"/>
        <v>2201.1744</v>
      </c>
      <c r="W18" s="139"/>
      <c r="X18" s="139"/>
      <c r="Y18" s="139"/>
      <c r="Z18" s="139"/>
      <c r="AA18" s="139"/>
      <c r="AB18" s="139"/>
      <c r="AC18" s="139"/>
      <c r="AD18" s="139"/>
      <c r="AE18" s="139"/>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row>
    <row r="19" s="119" customFormat="1" ht="60" customHeight="1" outlineLevel="2" spans="1:57">
      <c r="A19" s="145">
        <f t="shared" si="0"/>
        <v>7</v>
      </c>
      <c r="B19" s="159" t="s">
        <v>85</v>
      </c>
      <c r="C19" s="160" t="s">
        <v>86</v>
      </c>
      <c r="D19" s="159" t="s">
        <v>63</v>
      </c>
      <c r="E19" s="149">
        <f>+(0.061+0.72+0.114+0.074)*0.95*2</f>
        <v>1.8411</v>
      </c>
      <c r="F19" s="149">
        <f t="shared" si="1"/>
        <v>110</v>
      </c>
      <c r="G19" s="149">
        <f t="shared" si="2"/>
        <v>454.5</v>
      </c>
      <c r="H19" s="149">
        <f t="shared" si="3"/>
        <v>55.2</v>
      </c>
      <c r="I19" s="150">
        <f t="shared" si="4"/>
        <v>61.97</v>
      </c>
      <c r="J19" s="151">
        <f t="shared" si="5"/>
        <v>681.67</v>
      </c>
      <c r="K19" s="152">
        <f t="shared" si="6"/>
        <v>1255.02</v>
      </c>
      <c r="L19" s="153"/>
      <c r="M19" s="139">
        <v>1</v>
      </c>
      <c r="N19" s="139"/>
      <c r="O19" s="139"/>
      <c r="P19" s="37">
        <f t="shared" si="7"/>
        <v>619.7</v>
      </c>
      <c r="Q19" s="71">
        <v>450</v>
      </c>
      <c r="R19" s="157">
        <v>0.01</v>
      </c>
      <c r="S19" s="71">
        <v>110</v>
      </c>
      <c r="T19" s="71">
        <v>54</v>
      </c>
      <c r="U19" s="71">
        <v>1.2</v>
      </c>
      <c r="V19" s="37">
        <f t="shared" si="8"/>
        <v>1140.92967</v>
      </c>
      <c r="W19" s="139"/>
      <c r="X19" s="139"/>
      <c r="Y19" s="139"/>
      <c r="Z19" s="139"/>
      <c r="AA19" s="139"/>
      <c r="AB19" s="139"/>
      <c r="AC19" s="139"/>
      <c r="AD19" s="139"/>
      <c r="AE19" s="139"/>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row>
    <row r="20" s="119" customFormat="1" ht="48" customHeight="1" outlineLevel="2" spans="1:57">
      <c r="A20" s="145">
        <f t="shared" si="0"/>
        <v>8</v>
      </c>
      <c r="B20" s="159" t="s">
        <v>87</v>
      </c>
      <c r="C20" s="160" t="s">
        <v>88</v>
      </c>
      <c r="D20" s="159" t="s">
        <v>63</v>
      </c>
      <c r="E20" s="149">
        <v>0.252</v>
      </c>
      <c r="F20" s="149">
        <f t="shared" si="1"/>
        <v>110</v>
      </c>
      <c r="G20" s="149">
        <f t="shared" si="2"/>
        <v>454.5</v>
      </c>
      <c r="H20" s="149">
        <f t="shared" si="3"/>
        <v>55.2</v>
      </c>
      <c r="I20" s="150">
        <f t="shared" si="4"/>
        <v>61.97</v>
      </c>
      <c r="J20" s="151">
        <f t="shared" si="5"/>
        <v>681.67</v>
      </c>
      <c r="K20" s="152">
        <f t="shared" si="6"/>
        <v>171.78</v>
      </c>
      <c r="L20" s="153"/>
      <c r="M20" s="139">
        <v>1</v>
      </c>
      <c r="N20" s="139"/>
      <c r="O20" s="139"/>
      <c r="P20" s="37">
        <f t="shared" si="7"/>
        <v>619.7</v>
      </c>
      <c r="Q20" s="71">
        <v>450</v>
      </c>
      <c r="R20" s="157">
        <v>0.01</v>
      </c>
      <c r="S20" s="71">
        <v>110</v>
      </c>
      <c r="T20" s="71">
        <v>54</v>
      </c>
      <c r="U20" s="71">
        <v>1.2</v>
      </c>
      <c r="V20" s="37">
        <f t="shared" si="8"/>
        <v>156.1644</v>
      </c>
      <c r="W20" s="139"/>
      <c r="X20" s="139"/>
      <c r="Y20" s="139"/>
      <c r="Z20" s="139"/>
      <c r="AA20" s="139"/>
      <c r="AB20" s="139"/>
      <c r="AC20" s="139"/>
      <c r="AD20" s="139"/>
      <c r="AE20" s="139"/>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row>
    <row r="21" s="119" customFormat="1" ht="60" customHeight="1" outlineLevel="2" spans="1:57">
      <c r="A21" s="145">
        <f t="shared" si="0"/>
        <v>9</v>
      </c>
      <c r="B21" s="159" t="s">
        <v>89</v>
      </c>
      <c r="C21" s="160" t="s">
        <v>90</v>
      </c>
      <c r="D21" s="159" t="s">
        <v>63</v>
      </c>
      <c r="E21" s="149">
        <v>0.273</v>
      </c>
      <c r="F21" s="149">
        <f t="shared" si="1"/>
        <v>120</v>
      </c>
      <c r="G21" s="149">
        <f t="shared" si="2"/>
        <v>110.25</v>
      </c>
      <c r="H21" s="149">
        <f t="shared" si="3"/>
        <v>17</v>
      </c>
      <c r="I21" s="150">
        <f t="shared" si="4"/>
        <v>24.725</v>
      </c>
      <c r="J21" s="151">
        <f t="shared" si="5"/>
        <v>271.98</v>
      </c>
      <c r="K21" s="152">
        <f t="shared" si="6"/>
        <v>74.25</v>
      </c>
      <c r="L21" s="153"/>
      <c r="M21" s="139">
        <v>1</v>
      </c>
      <c r="N21" s="139"/>
      <c r="O21" s="139"/>
      <c r="P21" s="37">
        <f t="shared" si="7"/>
        <v>247.25</v>
      </c>
      <c r="Q21" s="71">
        <v>105</v>
      </c>
      <c r="R21" s="157">
        <v>0.05</v>
      </c>
      <c r="S21" s="71">
        <v>120</v>
      </c>
      <c r="T21" s="71">
        <v>16.5</v>
      </c>
      <c r="U21" s="71">
        <v>0.5</v>
      </c>
      <c r="V21" s="37">
        <f t="shared" si="8"/>
        <v>67.49925</v>
      </c>
      <c r="W21" s="139"/>
      <c r="X21" s="139"/>
      <c r="Y21" s="139"/>
      <c r="Z21" s="139"/>
      <c r="AA21" s="139"/>
      <c r="AB21" s="139"/>
      <c r="AC21" s="139"/>
      <c r="AD21" s="139"/>
      <c r="AE21" s="139"/>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row>
    <row r="22" s="119" customFormat="1" ht="48" customHeight="1" outlineLevel="2" spans="1:57">
      <c r="A22" s="145">
        <f t="shared" si="0"/>
        <v>10</v>
      </c>
      <c r="B22" s="159" t="s">
        <v>91</v>
      </c>
      <c r="C22" s="160" t="s">
        <v>92</v>
      </c>
      <c r="D22" s="159" t="s">
        <v>70</v>
      </c>
      <c r="E22" s="149">
        <v>25.71</v>
      </c>
      <c r="F22" s="149">
        <f t="shared" si="1"/>
        <v>12</v>
      </c>
      <c r="G22" s="149">
        <f t="shared" si="2"/>
        <v>25.75</v>
      </c>
      <c r="H22" s="149">
        <f t="shared" si="3"/>
        <v>3.8</v>
      </c>
      <c r="I22" s="150">
        <f t="shared" si="4"/>
        <v>4.155</v>
      </c>
      <c r="J22" s="151">
        <f t="shared" si="5"/>
        <v>45.71</v>
      </c>
      <c r="K22" s="152">
        <f t="shared" si="6"/>
        <v>1175.2</v>
      </c>
      <c r="L22" s="153"/>
      <c r="M22" s="139">
        <v>1</v>
      </c>
      <c r="N22" s="139"/>
      <c r="O22" s="139"/>
      <c r="P22" s="37">
        <f t="shared" si="7"/>
        <v>41.55</v>
      </c>
      <c r="Q22" s="71">
        <v>25</v>
      </c>
      <c r="R22" s="157">
        <v>0.03</v>
      </c>
      <c r="S22" s="71">
        <v>12</v>
      </c>
      <c r="T22" s="71">
        <v>3.5</v>
      </c>
      <c r="U22" s="71">
        <v>0.3</v>
      </c>
      <c r="V22" s="37">
        <f t="shared" si="8"/>
        <v>1068.2505</v>
      </c>
      <c r="W22" s="139"/>
      <c r="X22" s="139"/>
      <c r="Y22" s="139"/>
      <c r="Z22" s="139"/>
      <c r="AA22" s="139"/>
      <c r="AB22" s="139"/>
      <c r="AC22" s="139"/>
      <c r="AD22" s="139"/>
      <c r="AE22" s="139"/>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row>
    <row r="23" s="119" customFormat="1" ht="36" customHeight="1" outlineLevel="2" spans="1:57">
      <c r="A23" s="145">
        <f t="shared" si="0"/>
        <v>11</v>
      </c>
      <c r="B23" s="159" t="s">
        <v>93</v>
      </c>
      <c r="C23" s="160" t="s">
        <v>94</v>
      </c>
      <c r="D23" s="159" t="s">
        <v>70</v>
      </c>
      <c r="E23" s="149">
        <f>0.17*2</f>
        <v>0.34</v>
      </c>
      <c r="F23" s="149">
        <f t="shared" si="1"/>
        <v>12</v>
      </c>
      <c r="G23" s="149">
        <f t="shared" si="2"/>
        <v>30.385</v>
      </c>
      <c r="H23" s="149">
        <f t="shared" si="3"/>
        <v>3.8</v>
      </c>
      <c r="I23" s="150">
        <f t="shared" si="4"/>
        <v>4.6185</v>
      </c>
      <c r="J23" s="151">
        <f t="shared" si="5"/>
        <v>50.8</v>
      </c>
      <c r="K23" s="152">
        <f t="shared" si="6"/>
        <v>17.27</v>
      </c>
      <c r="L23" s="153"/>
      <c r="M23" s="139">
        <v>1</v>
      </c>
      <c r="N23" s="139"/>
      <c r="O23" s="139"/>
      <c r="P23" s="37">
        <f t="shared" si="7"/>
        <v>46.185</v>
      </c>
      <c r="Q23" s="71">
        <v>29.5</v>
      </c>
      <c r="R23" s="157">
        <v>0.03</v>
      </c>
      <c r="S23" s="71">
        <v>12</v>
      </c>
      <c r="T23" s="71">
        <v>3.5</v>
      </c>
      <c r="U23" s="71">
        <v>0.3</v>
      </c>
      <c r="V23" s="37">
        <f t="shared" si="8"/>
        <v>15.7029</v>
      </c>
      <c r="W23" s="139"/>
      <c r="X23" s="139"/>
      <c r="Y23" s="139"/>
      <c r="Z23" s="139"/>
      <c r="AA23" s="139"/>
      <c r="AB23" s="139"/>
      <c r="AC23" s="139"/>
      <c r="AD23" s="139"/>
      <c r="AE23" s="139"/>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row>
    <row r="24" s="119" customFormat="1" ht="36" customHeight="1" outlineLevel="2" spans="1:57">
      <c r="A24" s="145">
        <f t="shared" si="0"/>
        <v>12</v>
      </c>
      <c r="B24" s="159" t="s">
        <v>95</v>
      </c>
      <c r="C24" s="160" t="s">
        <v>96</v>
      </c>
      <c r="D24" s="159" t="s">
        <v>70</v>
      </c>
      <c r="E24" s="149">
        <v>0.96</v>
      </c>
      <c r="F24" s="149">
        <f t="shared" si="1"/>
        <v>12</v>
      </c>
      <c r="G24" s="149">
        <f t="shared" si="2"/>
        <v>37.3375</v>
      </c>
      <c r="H24" s="149">
        <f t="shared" si="3"/>
        <v>3.8</v>
      </c>
      <c r="I24" s="150">
        <f t="shared" si="4"/>
        <v>5.31375</v>
      </c>
      <c r="J24" s="151">
        <f t="shared" si="5"/>
        <v>58.45</v>
      </c>
      <c r="K24" s="152">
        <f t="shared" si="6"/>
        <v>56.11</v>
      </c>
      <c r="L24" s="153"/>
      <c r="M24" s="139">
        <v>1</v>
      </c>
      <c r="N24" s="139"/>
      <c r="O24" s="139"/>
      <c r="P24" s="37">
        <f t="shared" si="7"/>
        <v>53.1375</v>
      </c>
      <c r="Q24" s="71">
        <v>36.25</v>
      </c>
      <c r="R24" s="157">
        <v>0.03</v>
      </c>
      <c r="S24" s="71">
        <v>12</v>
      </c>
      <c r="T24" s="71">
        <v>3.5</v>
      </c>
      <c r="U24" s="71">
        <v>0.3</v>
      </c>
      <c r="V24" s="37">
        <f t="shared" si="8"/>
        <v>51.012</v>
      </c>
      <c r="W24" s="139"/>
      <c r="X24" s="139"/>
      <c r="Y24" s="139"/>
      <c r="Z24" s="139"/>
      <c r="AA24" s="139"/>
      <c r="AB24" s="139"/>
      <c r="AC24" s="139"/>
      <c r="AD24" s="139"/>
      <c r="AE24" s="139"/>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row>
    <row r="25" s="119" customFormat="1" ht="48" customHeight="1" outlineLevel="2" spans="1:57">
      <c r="A25" s="145">
        <f t="shared" si="0"/>
        <v>13</v>
      </c>
      <c r="B25" s="159" t="s">
        <v>97</v>
      </c>
      <c r="C25" s="160" t="s">
        <v>98</v>
      </c>
      <c r="D25" s="159" t="s">
        <v>70</v>
      </c>
      <c r="E25" s="149">
        <v>24.41</v>
      </c>
      <c r="F25" s="149">
        <f t="shared" si="1"/>
        <v>22</v>
      </c>
      <c r="G25" s="149">
        <f t="shared" si="2"/>
        <v>58.195</v>
      </c>
      <c r="H25" s="149">
        <f t="shared" si="3"/>
        <v>6.3</v>
      </c>
      <c r="I25" s="150">
        <f t="shared" si="4"/>
        <v>8.6495</v>
      </c>
      <c r="J25" s="151">
        <f t="shared" si="5"/>
        <v>95.14</v>
      </c>
      <c r="K25" s="152">
        <f t="shared" si="6"/>
        <v>2322.37</v>
      </c>
      <c r="L25" s="153"/>
      <c r="M25" s="139">
        <v>1</v>
      </c>
      <c r="N25" s="139"/>
      <c r="O25" s="139"/>
      <c r="P25" s="37">
        <f t="shared" si="7"/>
        <v>86.495</v>
      </c>
      <c r="Q25" s="71">
        <v>56.5</v>
      </c>
      <c r="R25" s="157">
        <v>0.03</v>
      </c>
      <c r="S25" s="71">
        <v>22</v>
      </c>
      <c r="T25" s="71">
        <v>6</v>
      </c>
      <c r="U25" s="71">
        <v>0.3</v>
      </c>
      <c r="V25" s="37">
        <f t="shared" si="8"/>
        <v>2111.34295</v>
      </c>
      <c r="W25" s="139"/>
      <c r="X25" s="139"/>
      <c r="Y25" s="139"/>
      <c r="Z25" s="139"/>
      <c r="AA25" s="139"/>
      <c r="AB25" s="139"/>
      <c r="AC25" s="139"/>
      <c r="AD25" s="139"/>
      <c r="AE25" s="139"/>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row>
    <row r="26" s="119" customFormat="1" ht="48" customHeight="1" outlineLevel="2" spans="1:57">
      <c r="A26" s="145">
        <f t="shared" si="0"/>
        <v>14</v>
      </c>
      <c r="B26" s="159" t="s">
        <v>99</v>
      </c>
      <c r="C26" s="160" t="s">
        <v>100</v>
      </c>
      <c r="D26" s="159" t="s">
        <v>70</v>
      </c>
      <c r="E26" s="149">
        <v>25.71</v>
      </c>
      <c r="F26" s="149">
        <f t="shared" si="1"/>
        <v>12</v>
      </c>
      <c r="G26" s="149">
        <f t="shared" si="2"/>
        <v>23.4325</v>
      </c>
      <c r="H26" s="149">
        <f t="shared" si="3"/>
        <v>3.8</v>
      </c>
      <c r="I26" s="150">
        <f t="shared" si="4"/>
        <v>3.92325</v>
      </c>
      <c r="J26" s="151">
        <f t="shared" si="5"/>
        <v>43.16</v>
      </c>
      <c r="K26" s="152">
        <f t="shared" si="6"/>
        <v>1109.64</v>
      </c>
      <c r="L26" s="153"/>
      <c r="M26" s="139">
        <v>1</v>
      </c>
      <c r="N26" s="139"/>
      <c r="O26" s="139"/>
      <c r="P26" s="37">
        <f t="shared" si="7"/>
        <v>39.2325</v>
      </c>
      <c r="Q26" s="71">
        <v>22.75</v>
      </c>
      <c r="R26" s="157">
        <v>0.03</v>
      </c>
      <c r="S26" s="71">
        <v>12</v>
      </c>
      <c r="T26" s="71">
        <v>3.5</v>
      </c>
      <c r="U26" s="71">
        <v>0.3</v>
      </c>
      <c r="V26" s="37">
        <f t="shared" si="8"/>
        <v>1008.667575</v>
      </c>
      <c r="W26" s="139"/>
      <c r="X26" s="139"/>
      <c r="Y26" s="139"/>
      <c r="Z26" s="139"/>
      <c r="AA26" s="139"/>
      <c r="AB26" s="139"/>
      <c r="AC26" s="139"/>
      <c r="AD26" s="139"/>
      <c r="AE26" s="139"/>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row>
    <row r="27" s="119" customFormat="1" ht="24" customHeight="1" outlineLevel="1" spans="1:57">
      <c r="A27" s="141"/>
      <c r="B27" s="14" t="s">
        <v>101</v>
      </c>
      <c r="C27" s="15"/>
      <c r="D27" s="142"/>
      <c r="E27" s="143"/>
      <c r="F27" s="143"/>
      <c r="G27" s="143"/>
      <c r="H27" s="143"/>
      <c r="I27" s="143"/>
      <c r="J27" s="143"/>
      <c r="K27" s="144"/>
      <c r="L27" s="135"/>
      <c r="M27" s="139"/>
      <c r="N27" s="139"/>
      <c r="O27" s="139"/>
      <c r="P27" s="137"/>
      <c r="Q27" s="137"/>
      <c r="R27" s="138"/>
      <c r="S27" s="137"/>
      <c r="T27" s="137"/>
      <c r="U27" s="137"/>
      <c r="V27" s="137"/>
      <c r="W27" s="139"/>
      <c r="X27" s="139"/>
      <c r="Y27" s="139"/>
      <c r="Z27" s="139"/>
      <c r="AA27" s="139"/>
      <c r="AB27" s="139"/>
      <c r="AC27" s="139"/>
      <c r="AD27" s="139"/>
      <c r="AE27" s="139"/>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row>
    <row r="28" s="119" customFormat="1" ht="96" customHeight="1" outlineLevel="2" spans="1:57">
      <c r="A28" s="145">
        <f>1+N(A27)</f>
        <v>1</v>
      </c>
      <c r="B28" s="146" t="s">
        <v>102</v>
      </c>
      <c r="C28" s="161" t="s">
        <v>103</v>
      </c>
      <c r="D28" s="148" t="s">
        <v>63</v>
      </c>
      <c r="E28" s="149">
        <v>31.77</v>
      </c>
      <c r="F28" s="149">
        <f>S28*$S$1</f>
        <v>70</v>
      </c>
      <c r="G28" s="149">
        <f>Q28*(1+R28)*$Q$1</f>
        <v>0</v>
      </c>
      <c r="H28" s="149">
        <f>(T28+U28)*$T$1</f>
        <v>66.711</v>
      </c>
      <c r="I28" s="150">
        <f>(F28+G28+H28)*$I$3</f>
        <v>13.6711</v>
      </c>
      <c r="J28" s="151">
        <f>ROUND(SUM(F28:I28),2)</f>
        <v>150.38</v>
      </c>
      <c r="K28" s="152">
        <f>ROUND(J28*E28,2)</f>
        <v>4777.57</v>
      </c>
      <c r="L28" s="153"/>
      <c r="M28" s="139">
        <v>1</v>
      </c>
      <c r="N28" s="139"/>
      <c r="O28" s="139"/>
      <c r="P28" s="37">
        <f>Q28+Q28*R28+S28+T28+U28</f>
        <v>136.711</v>
      </c>
      <c r="Q28" s="71"/>
      <c r="R28" s="157">
        <v>0.01</v>
      </c>
      <c r="S28" s="71">
        <v>70</v>
      </c>
      <c r="T28" s="71">
        <v>64.711</v>
      </c>
      <c r="U28" s="71">
        <v>2</v>
      </c>
      <c r="V28" s="37">
        <f>P28*E28</f>
        <v>4343.30847</v>
      </c>
      <c r="W28" s="139"/>
      <c r="X28" s="139"/>
      <c r="Y28" s="139"/>
      <c r="Z28" s="139"/>
      <c r="AA28" s="139"/>
      <c r="AB28" s="139"/>
      <c r="AC28" s="139"/>
      <c r="AD28" s="139"/>
      <c r="AE28" s="139"/>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row>
    <row r="29" s="119" customFormat="1" ht="72" customHeight="1" outlineLevel="2" spans="1:57">
      <c r="A29" s="145">
        <f>1+N(A28)</f>
        <v>2</v>
      </c>
      <c r="B29" s="146" t="s">
        <v>104</v>
      </c>
      <c r="C29" s="161" t="s">
        <v>105</v>
      </c>
      <c r="D29" s="148" t="s">
        <v>70</v>
      </c>
      <c r="E29" s="149">
        <v>12.73</v>
      </c>
      <c r="F29" s="149">
        <f>S29*$S$1</f>
        <v>50</v>
      </c>
      <c r="G29" s="149">
        <f>Q29*(1+R29)*$Q$1</f>
        <v>0</v>
      </c>
      <c r="H29" s="149">
        <f>(T29+U29)*$T$1</f>
        <v>22.0941</v>
      </c>
      <c r="I29" s="150">
        <f>(F29+G29+H29)*$I$3</f>
        <v>7.20941</v>
      </c>
      <c r="J29" s="151">
        <f>ROUND(SUM(F29:I29),2)</f>
        <v>79.3</v>
      </c>
      <c r="K29" s="152">
        <f>ROUND(J29*E29,2)</f>
        <v>1009.49</v>
      </c>
      <c r="L29" s="153"/>
      <c r="M29" s="139">
        <v>1</v>
      </c>
      <c r="N29" s="139"/>
      <c r="O29" s="139"/>
      <c r="P29" s="37">
        <f>Q29+Q29*R29+S29+T29+U29</f>
        <v>72.0941</v>
      </c>
      <c r="Q29" s="71"/>
      <c r="R29" s="157">
        <v>0.01</v>
      </c>
      <c r="S29" s="71">
        <v>50</v>
      </c>
      <c r="T29" s="71">
        <v>22.0941</v>
      </c>
      <c r="U29" s="71"/>
      <c r="V29" s="37">
        <f>P29*E29</f>
        <v>917.757893</v>
      </c>
      <c r="W29" s="139"/>
      <c r="X29" s="139"/>
      <c r="Y29" s="139"/>
      <c r="Z29" s="139"/>
      <c r="AA29" s="139"/>
      <c r="AB29" s="139"/>
      <c r="AC29" s="139"/>
      <c r="AD29" s="139"/>
      <c r="AE29" s="139"/>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row>
    <row r="30" s="119" customFormat="1" ht="72" customHeight="1" outlineLevel="2" spans="1:57">
      <c r="A30" s="145">
        <f>1+N(A29)</f>
        <v>3</v>
      </c>
      <c r="B30" s="146" t="s">
        <v>106</v>
      </c>
      <c r="C30" s="147" t="s">
        <v>107</v>
      </c>
      <c r="D30" s="148" t="s">
        <v>70</v>
      </c>
      <c r="E30" s="149">
        <v>12.73</v>
      </c>
      <c r="F30" s="149">
        <f>S30*$S$1</f>
        <v>18</v>
      </c>
      <c r="G30" s="149">
        <f>Q30*(1+R30)*$Q$1</f>
        <v>163.255</v>
      </c>
      <c r="H30" s="149">
        <f>(T30+U30)*$T$1</f>
        <v>3.8</v>
      </c>
      <c r="I30" s="150">
        <f>(F30+G30+H30)*$I$3</f>
        <v>18.5055</v>
      </c>
      <c r="J30" s="151">
        <f>ROUND(SUM(F30:I30),2)</f>
        <v>203.56</v>
      </c>
      <c r="K30" s="152">
        <f>ROUND(J30*E30,2)</f>
        <v>2591.32</v>
      </c>
      <c r="L30" s="153"/>
      <c r="M30" s="139">
        <v>1</v>
      </c>
      <c r="N30" s="139"/>
      <c r="O30" s="139"/>
      <c r="P30" s="37">
        <f>Q30+Q30*R30+S30+T30+U30</f>
        <v>185.055</v>
      </c>
      <c r="Q30" s="71">
        <v>158.5</v>
      </c>
      <c r="R30" s="157">
        <v>0.03</v>
      </c>
      <c r="S30" s="71">
        <v>18</v>
      </c>
      <c r="T30" s="71">
        <v>3.5</v>
      </c>
      <c r="U30" s="71">
        <v>0.3</v>
      </c>
      <c r="V30" s="37">
        <f>P30*E30</f>
        <v>2355.75015</v>
      </c>
      <c r="W30" s="139"/>
      <c r="X30" s="139"/>
      <c r="Y30" s="139"/>
      <c r="Z30" s="139"/>
      <c r="AA30" s="139"/>
      <c r="AB30" s="139"/>
      <c r="AC30" s="139"/>
      <c r="AD30" s="139"/>
      <c r="AE30" s="139"/>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row>
    <row r="31" s="119" customFormat="1" ht="72" customHeight="1" outlineLevel="2" spans="1:57">
      <c r="A31" s="145">
        <f>1+N(A30)</f>
        <v>4</v>
      </c>
      <c r="B31" s="146" t="s">
        <v>108</v>
      </c>
      <c r="C31" s="147" t="s">
        <v>109</v>
      </c>
      <c r="D31" s="148" t="s">
        <v>70</v>
      </c>
      <c r="E31" s="149">
        <f>1.2*2*1</f>
        <v>2.4</v>
      </c>
      <c r="F31" s="149">
        <f>S31*$S$1</f>
        <v>30</v>
      </c>
      <c r="G31" s="149">
        <f>Q31*(1+R31)*$Q$1</f>
        <v>65.6625</v>
      </c>
      <c r="H31" s="149">
        <f>(T31+U31)*$T$1</f>
        <v>2.7</v>
      </c>
      <c r="I31" s="150">
        <f>(F31+G31+H31)*$I$3</f>
        <v>9.83625</v>
      </c>
      <c r="J31" s="151">
        <f>ROUND(SUM(F31:I31),2)</f>
        <v>108.2</v>
      </c>
      <c r="K31" s="152">
        <f>ROUND(J31*E31,2)</f>
        <v>259.68</v>
      </c>
      <c r="L31" s="153"/>
      <c r="M31" s="139">
        <v>1</v>
      </c>
      <c r="N31" s="139"/>
      <c r="O31" s="139"/>
      <c r="P31" s="37">
        <f>Q31+Q31*R31+S31+T31+U31</f>
        <v>98.3625</v>
      </c>
      <c r="Q31" s="71">
        <v>63.75</v>
      </c>
      <c r="R31" s="157">
        <v>0.03</v>
      </c>
      <c r="S31" s="71">
        <v>30</v>
      </c>
      <c r="T31" s="71">
        <v>2.5</v>
      </c>
      <c r="U31" s="71">
        <v>0.2</v>
      </c>
      <c r="V31" s="37">
        <f>P31*E31</f>
        <v>236.07</v>
      </c>
      <c r="W31" s="139"/>
      <c r="X31" s="139"/>
      <c r="Y31" s="139"/>
      <c r="Z31" s="139"/>
      <c r="AA31" s="139"/>
      <c r="AB31" s="139"/>
      <c r="AC31" s="139"/>
      <c r="AD31" s="139"/>
      <c r="AE31" s="139"/>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row>
    <row r="32" s="119" customFormat="1" ht="72" customHeight="1" outlineLevel="2" spans="1:57">
      <c r="A32" s="145">
        <f>1+N(A31)</f>
        <v>5</v>
      </c>
      <c r="B32" s="146" t="s">
        <v>110</v>
      </c>
      <c r="C32" s="147" t="s">
        <v>111</v>
      </c>
      <c r="D32" s="148" t="s">
        <v>63</v>
      </c>
      <c r="E32" s="149">
        <f>31.77+12.73*0.3</f>
        <v>35.589</v>
      </c>
      <c r="F32" s="149">
        <f>S32*$S$1</f>
        <v>45</v>
      </c>
      <c r="G32" s="149">
        <f>Q32*(1+R32)*$Q$1</f>
        <v>85.5</v>
      </c>
      <c r="H32" s="149">
        <f>(T32+U32)*$T$1</f>
        <v>7.3</v>
      </c>
      <c r="I32" s="150">
        <f>(F32+G32+H32)*$I$3</f>
        <v>13.78</v>
      </c>
      <c r="J32" s="151">
        <f>ROUND(SUM(F32:I32),2)</f>
        <v>151.58</v>
      </c>
      <c r="K32" s="152">
        <f>ROUND(J32*E32,2)</f>
        <v>5394.58</v>
      </c>
      <c r="L32" s="153"/>
      <c r="M32" s="139">
        <v>1</v>
      </c>
      <c r="N32" s="139"/>
      <c r="O32" s="139"/>
      <c r="P32" s="37">
        <f>Q32+Q32*R32+S32+T32+U32</f>
        <v>137.8</v>
      </c>
      <c r="Q32" s="71">
        <v>85.5</v>
      </c>
      <c r="R32" s="157">
        <v>0</v>
      </c>
      <c r="S32" s="71">
        <v>45</v>
      </c>
      <c r="T32" s="71">
        <v>6.5</v>
      </c>
      <c r="U32" s="71">
        <v>0.8</v>
      </c>
      <c r="V32" s="37">
        <f>P32*E32</f>
        <v>4904.1642</v>
      </c>
      <c r="W32" s="139"/>
      <c r="X32" s="139"/>
      <c r="Y32" s="139"/>
      <c r="Z32" s="139"/>
      <c r="AA32" s="139"/>
      <c r="AB32" s="139"/>
      <c r="AC32" s="139"/>
      <c r="AD32" s="139"/>
      <c r="AE32" s="139"/>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row>
    <row r="33" s="119" customFormat="1" ht="24" customHeight="1" outlineLevel="1" spans="1:57">
      <c r="A33" s="141"/>
      <c r="B33" s="14" t="s">
        <v>112</v>
      </c>
      <c r="C33" s="15"/>
      <c r="D33" s="142"/>
      <c r="E33" s="143"/>
      <c r="F33" s="143"/>
      <c r="G33" s="143"/>
      <c r="H33" s="143"/>
      <c r="I33" s="143"/>
      <c r="J33" s="143"/>
      <c r="K33" s="144"/>
      <c r="L33" s="135"/>
      <c r="M33" s="139"/>
      <c r="N33" s="139"/>
      <c r="O33" s="139"/>
      <c r="P33" s="137"/>
      <c r="Q33" s="137"/>
      <c r="R33" s="138"/>
      <c r="S33" s="137"/>
      <c r="T33" s="137"/>
      <c r="U33" s="137"/>
      <c r="V33" s="137"/>
      <c r="W33" s="139"/>
      <c r="X33" s="139"/>
      <c r="Y33" s="139"/>
      <c r="Z33" s="139"/>
      <c r="AA33" s="139"/>
      <c r="AB33" s="139"/>
      <c r="AC33" s="139"/>
      <c r="AD33" s="139"/>
      <c r="AE33" s="139"/>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row>
    <row r="34" s="119" customFormat="1" ht="36" customHeight="1" outlineLevel="2" spans="1:57">
      <c r="A34" s="145">
        <f>1+N(A33)</f>
        <v>1</v>
      </c>
      <c r="B34" s="146" t="s">
        <v>113</v>
      </c>
      <c r="C34" s="147" t="s">
        <v>114</v>
      </c>
      <c r="D34" s="148" t="s">
        <v>63</v>
      </c>
      <c r="E34" s="149">
        <f>0.96*3</f>
        <v>2.88</v>
      </c>
      <c r="F34" s="149">
        <f>S34*$S$1</f>
        <v>165</v>
      </c>
      <c r="G34" s="149">
        <f>Q34*(1+R34)*$Q$1</f>
        <v>85</v>
      </c>
      <c r="H34" s="149">
        <f>(T34+U34)*$T$1</f>
        <v>355.1744</v>
      </c>
      <c r="I34" s="150">
        <f>(F34+G34+H34)*$I$3</f>
        <v>60.51744</v>
      </c>
      <c r="J34" s="151">
        <f>ROUND(SUM(F34:I34),2)</f>
        <v>665.69</v>
      </c>
      <c r="K34" s="152">
        <f>ROUND(J34*E34,2)</f>
        <v>1917.19</v>
      </c>
      <c r="L34" s="153"/>
      <c r="M34" s="139">
        <v>1</v>
      </c>
      <c r="N34" s="139"/>
      <c r="O34" s="139"/>
      <c r="P34" s="37">
        <f>Q34+Q34*R34+S34+T34+U34</f>
        <v>605.1744</v>
      </c>
      <c r="Q34" s="71">
        <v>85</v>
      </c>
      <c r="R34" s="157">
        <v>0</v>
      </c>
      <c r="S34" s="71">
        <v>165</v>
      </c>
      <c r="T34" s="71">
        <v>353.6744</v>
      </c>
      <c r="U34" s="71">
        <v>1.5</v>
      </c>
      <c r="V34" s="37">
        <f>P34*E34</f>
        <v>1742.902272</v>
      </c>
      <c r="W34" s="139"/>
      <c r="X34" s="139"/>
      <c r="Y34" s="139"/>
      <c r="Z34" s="139"/>
      <c r="AA34" s="139"/>
      <c r="AB34" s="139"/>
      <c r="AC34" s="139"/>
      <c r="AD34" s="139"/>
      <c r="AE34" s="139"/>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row>
    <row r="35" s="119" customFormat="1" ht="72" customHeight="1" outlineLevel="2" spans="1:57">
      <c r="A35" s="145">
        <f>1+N(A34)</f>
        <v>2</v>
      </c>
      <c r="B35" s="146" t="s">
        <v>115</v>
      </c>
      <c r="C35" s="160" t="s">
        <v>116</v>
      </c>
      <c r="D35" s="148" t="s">
        <v>63</v>
      </c>
      <c r="E35" s="149">
        <f>1.84*3</f>
        <v>5.52</v>
      </c>
      <c r="F35" s="149">
        <f>S35*$S$1</f>
        <v>145</v>
      </c>
      <c r="G35" s="149">
        <f>Q35*(1+R35)*$Q$1</f>
        <v>1650</v>
      </c>
      <c r="H35" s="149">
        <f>(T35+U35)*$T$1</f>
        <v>31.5</v>
      </c>
      <c r="I35" s="150">
        <f>(F35+G35+H35)*$I$3</f>
        <v>182.65</v>
      </c>
      <c r="J35" s="151">
        <f>ROUND(SUM(F35:I35),2)</f>
        <v>2009.15</v>
      </c>
      <c r="K35" s="152">
        <f>ROUND(J35*E35,2)</f>
        <v>11090.51</v>
      </c>
      <c r="L35" s="153"/>
      <c r="M35" s="139">
        <v>1</v>
      </c>
      <c r="N35" s="139"/>
      <c r="O35" s="139"/>
      <c r="P35" s="37">
        <f>Q35+Q35*R35+S35+T35+U35</f>
        <v>1826.5</v>
      </c>
      <c r="Q35" s="71">
        <v>1650</v>
      </c>
      <c r="R35" s="157">
        <v>0</v>
      </c>
      <c r="S35" s="71">
        <v>145</v>
      </c>
      <c r="T35" s="71">
        <v>30</v>
      </c>
      <c r="U35" s="71">
        <v>1.5</v>
      </c>
      <c r="V35" s="37">
        <f>P35*E35</f>
        <v>10082.28</v>
      </c>
      <c r="W35" s="139"/>
      <c r="X35" s="139"/>
      <c r="Y35" s="139"/>
      <c r="Z35" s="139"/>
      <c r="AA35" s="139"/>
      <c r="AB35" s="139"/>
      <c r="AC35" s="139"/>
      <c r="AD35" s="139"/>
      <c r="AE35" s="139"/>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row>
    <row r="36" s="119" customFormat="1" ht="36" customHeight="1" outlineLevel="2" spans="1:57">
      <c r="A36" s="145">
        <f>1+N(A35)</f>
        <v>3</v>
      </c>
      <c r="B36" s="159" t="s">
        <v>117</v>
      </c>
      <c r="C36" s="160" t="s">
        <v>118</v>
      </c>
      <c r="D36" s="159" t="s">
        <v>63</v>
      </c>
      <c r="E36" s="149">
        <f>1.71*3</f>
        <v>5.13</v>
      </c>
      <c r="F36" s="149">
        <f>S36*$S$1</f>
        <v>110</v>
      </c>
      <c r="G36" s="149">
        <f>Q36*(1+R36)*$Q$1</f>
        <v>419.15</v>
      </c>
      <c r="H36" s="149">
        <f>(T36+U36)*$T$1</f>
        <v>68.5</v>
      </c>
      <c r="I36" s="150">
        <f>(F36+G36+H36)*$I$3</f>
        <v>59.765</v>
      </c>
      <c r="J36" s="151">
        <f>ROUND(SUM(F36:I36),2)</f>
        <v>657.42</v>
      </c>
      <c r="K36" s="152">
        <f>ROUND(J36*E36,2)</f>
        <v>3372.56</v>
      </c>
      <c r="L36" s="153"/>
      <c r="M36" s="139">
        <v>1</v>
      </c>
      <c r="N36" s="139"/>
      <c r="O36" s="139"/>
      <c r="P36" s="37">
        <f>Q36+Q36*R36+S36+T36+U36</f>
        <v>597.65</v>
      </c>
      <c r="Q36" s="71">
        <v>415</v>
      </c>
      <c r="R36" s="157">
        <v>0.01</v>
      </c>
      <c r="S36" s="71">
        <v>110</v>
      </c>
      <c r="T36" s="71">
        <v>65</v>
      </c>
      <c r="U36" s="71">
        <v>3.5</v>
      </c>
      <c r="V36" s="37">
        <f>P36*E36</f>
        <v>3065.9445</v>
      </c>
      <c r="W36" s="139"/>
      <c r="X36" s="139"/>
      <c r="Y36" s="139"/>
      <c r="Z36" s="139"/>
      <c r="AA36" s="139"/>
      <c r="AB36" s="139"/>
      <c r="AC36" s="139"/>
      <c r="AD36" s="139"/>
      <c r="AE36" s="139"/>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row>
    <row r="37" s="119" customFormat="1" ht="24" customHeight="1" outlineLevel="1" spans="1:57">
      <c r="A37" s="132" t="s">
        <v>119</v>
      </c>
      <c r="B37" s="8" t="s">
        <v>120</v>
      </c>
      <c r="C37" s="8"/>
      <c r="D37" s="133"/>
      <c r="E37" s="134"/>
      <c r="F37" s="134"/>
      <c r="G37" s="134"/>
      <c r="H37" s="134"/>
      <c r="I37" s="134"/>
      <c r="J37" s="134"/>
      <c r="K37" s="11"/>
      <c r="L37" s="135"/>
      <c r="M37" s="139"/>
      <c r="N37" s="139"/>
      <c r="O37" s="139" t="str">
        <f>_xlfn.DISPIMG("ID_EC83A7CF2DCE420D98B785E34F0891B0",1)</f>
        <v>=DISPIMG("ID_EC83A7CF2DCE420D98B785E34F0891B0",1)</v>
      </c>
      <c r="P37" s="137"/>
      <c r="Q37" s="137"/>
      <c r="R37" s="138"/>
      <c r="S37" s="137"/>
      <c r="T37" s="137"/>
      <c r="U37" s="137"/>
      <c r="V37" s="137"/>
      <c r="W37" s="139"/>
      <c r="X37" s="139"/>
      <c r="Y37" s="139"/>
      <c r="Z37" s="139"/>
      <c r="AA37" s="139"/>
      <c r="AB37" s="139"/>
      <c r="AC37" s="139"/>
      <c r="AD37" s="139"/>
      <c r="AE37" s="139"/>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row>
    <row r="38" s="119" customFormat="1" ht="24" customHeight="1" outlineLevel="1" spans="1:57">
      <c r="A38" s="141"/>
      <c r="B38" s="14" t="s">
        <v>60</v>
      </c>
      <c r="C38" s="15"/>
      <c r="D38" s="142"/>
      <c r="E38" s="143"/>
      <c r="F38" s="143"/>
      <c r="G38" s="143"/>
      <c r="H38" s="143"/>
      <c r="I38" s="143"/>
      <c r="J38" s="143"/>
      <c r="K38" s="144"/>
      <c r="L38" s="135"/>
      <c r="M38" s="139"/>
      <c r="N38" s="139"/>
      <c r="O38" s="139"/>
      <c r="P38" s="137"/>
      <c r="Q38" s="137"/>
      <c r="R38" s="138"/>
      <c r="S38" s="137"/>
      <c r="T38" s="137"/>
      <c r="U38" s="137"/>
      <c r="V38" s="137"/>
      <c r="W38" s="139"/>
      <c r="X38" s="139"/>
      <c r="Y38" s="139"/>
      <c r="Z38" s="139"/>
      <c r="AA38" s="139"/>
      <c r="AB38" s="139"/>
      <c r="AC38" s="139"/>
      <c r="AD38" s="139"/>
      <c r="AE38" s="139"/>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row>
    <row r="39" s="119" customFormat="1" ht="96" customHeight="1" outlineLevel="2" spans="1:57">
      <c r="A39" s="162">
        <f>1+N(A38)</f>
        <v>1</v>
      </c>
      <c r="B39" s="14" t="s">
        <v>61</v>
      </c>
      <c r="C39" s="15" t="s">
        <v>62</v>
      </c>
      <c r="D39" s="142" t="s">
        <v>63</v>
      </c>
      <c r="E39" s="143">
        <v>30.5</v>
      </c>
      <c r="F39" s="143">
        <f>$F$7</f>
        <v>130</v>
      </c>
      <c r="G39" s="143">
        <f>$G$7</f>
        <v>628.3</v>
      </c>
      <c r="H39" s="17">
        <f>$H$7</f>
        <v>47.7</v>
      </c>
      <c r="I39" s="17">
        <f>(F39+G39+H39)*$I$3</f>
        <v>80.6</v>
      </c>
      <c r="J39" s="18">
        <f>ROUND(SUM(F39:I39),2)</f>
        <v>886.6</v>
      </c>
      <c r="K39" s="19">
        <f>ROUND(J39*E39,2)</f>
        <v>27041.3</v>
      </c>
      <c r="L39" s="135"/>
      <c r="M39" s="139">
        <v>1</v>
      </c>
      <c r="N39" s="139"/>
      <c r="O39" s="139">
        <v>29.2</v>
      </c>
      <c r="P39" s="37">
        <f>Q39+Q39*R39+S39+T39+U39</f>
        <v>806</v>
      </c>
      <c r="Q39" s="99">
        <f>$Q$7</f>
        <v>610</v>
      </c>
      <c r="R39" s="163">
        <f>$R$7</f>
        <v>0.03</v>
      </c>
      <c r="S39" s="99">
        <f>$S$7</f>
        <v>130</v>
      </c>
      <c r="T39" s="99">
        <f>$T$7</f>
        <v>46.2</v>
      </c>
      <c r="U39" s="99">
        <f>$U$7</f>
        <v>1.5</v>
      </c>
      <c r="V39" s="37">
        <f>P39*E39</f>
        <v>24583</v>
      </c>
      <c r="W39" s="139"/>
      <c r="X39" s="139"/>
      <c r="Y39" s="139"/>
      <c r="Z39" s="139"/>
      <c r="AA39" s="139"/>
      <c r="AB39" s="139"/>
      <c r="AC39" s="139"/>
      <c r="AD39" s="139"/>
      <c r="AE39" s="139"/>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row>
    <row r="40" s="119" customFormat="1" ht="108" customHeight="1" outlineLevel="2" spans="1:57">
      <c r="A40" s="145">
        <f>1+N(A39)</f>
        <v>2</v>
      </c>
      <c r="B40" s="146" t="s">
        <v>121</v>
      </c>
      <c r="C40" s="147" t="s">
        <v>122</v>
      </c>
      <c r="D40" s="148" t="s">
        <v>63</v>
      </c>
      <c r="E40" s="149">
        <v>41.2</v>
      </c>
      <c r="F40" s="149">
        <f>S40*$S$1</f>
        <v>130</v>
      </c>
      <c r="G40" s="149">
        <f>Q40*(1+R40)*$Q$1</f>
        <v>854.9</v>
      </c>
      <c r="H40" s="149">
        <f>(T40+U40)*$T$1</f>
        <v>47.7</v>
      </c>
      <c r="I40" s="150">
        <f>(F40+G40+H40)*$I$3</f>
        <v>103.26</v>
      </c>
      <c r="J40" s="151">
        <f>ROUND(SUM(F40:I40),2)</f>
        <v>1135.86</v>
      </c>
      <c r="K40" s="152">
        <f>ROUND(J40*E40,2)</f>
        <v>46797.43</v>
      </c>
      <c r="L40" s="153"/>
      <c r="M40" s="139">
        <v>1</v>
      </c>
      <c r="N40" s="139"/>
      <c r="O40" s="139"/>
      <c r="P40" s="37">
        <f>Q40+Q40*R40+S40+T40+U40</f>
        <v>1032.6</v>
      </c>
      <c r="Q40" s="71">
        <v>830</v>
      </c>
      <c r="R40" s="157">
        <v>0.03</v>
      </c>
      <c r="S40" s="71">
        <v>130</v>
      </c>
      <c r="T40" s="71">
        <v>46.2</v>
      </c>
      <c r="U40" s="71">
        <v>1.5</v>
      </c>
      <c r="V40" s="37">
        <f>P40*E40</f>
        <v>42543.12</v>
      </c>
      <c r="W40" s="139"/>
      <c r="X40" s="139"/>
      <c r="Y40" s="139"/>
      <c r="Z40" s="139"/>
      <c r="AA40" s="139"/>
      <c r="AB40" s="139"/>
      <c r="AC40" s="139"/>
      <c r="AD40" s="139"/>
      <c r="AE40" s="139"/>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row>
    <row r="41" s="119" customFormat="1" ht="36" customHeight="1" outlineLevel="2" spans="1:57">
      <c r="A41" s="162">
        <f>1+N(A40)</f>
        <v>3</v>
      </c>
      <c r="B41" s="14" t="s">
        <v>68</v>
      </c>
      <c r="C41" s="15" t="s">
        <v>69</v>
      </c>
      <c r="D41" s="142" t="s">
        <v>70</v>
      </c>
      <c r="E41" s="143">
        <v>24.98</v>
      </c>
      <c r="F41" s="143">
        <f>$F$10</f>
        <v>12</v>
      </c>
      <c r="G41" s="143">
        <f>$G$10</f>
        <v>19.57</v>
      </c>
      <c r="H41" s="143">
        <f>$H$10</f>
        <v>0.5</v>
      </c>
      <c r="I41" s="17">
        <f>(F41+G41+H41)*$I$3</f>
        <v>3.207</v>
      </c>
      <c r="J41" s="18">
        <f>ROUND(SUM(F41:I41),2)</f>
        <v>35.28</v>
      </c>
      <c r="K41" s="19">
        <f>ROUND(J41*E41,2)</f>
        <v>881.29</v>
      </c>
      <c r="L41" s="135"/>
      <c r="M41" s="139">
        <v>1</v>
      </c>
      <c r="N41" s="139"/>
      <c r="O41" s="139"/>
      <c r="P41" s="37">
        <f>Q41+Q41*R41+S41+T41+U41</f>
        <v>32.07</v>
      </c>
      <c r="Q41" s="99">
        <f>$Q$10</f>
        <v>19</v>
      </c>
      <c r="R41" s="163">
        <f>$R$10</f>
        <v>0.03</v>
      </c>
      <c r="S41" s="99">
        <f>$S$10</f>
        <v>12</v>
      </c>
      <c r="T41" s="99">
        <f>$T$10</f>
        <v>0.3</v>
      </c>
      <c r="U41" s="99">
        <f>$U$10</f>
        <v>0.2</v>
      </c>
      <c r="V41" s="37">
        <f>P41*E41</f>
        <v>801.1086</v>
      </c>
      <c r="W41" s="139"/>
      <c r="X41" s="139"/>
      <c r="Y41" s="139"/>
      <c r="Z41" s="139"/>
      <c r="AA41" s="139"/>
      <c r="AB41" s="139"/>
      <c r="AC41" s="139"/>
      <c r="AD41" s="139"/>
      <c r="AE41" s="139"/>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row>
    <row r="42" s="119" customFormat="1" ht="48" customHeight="1" outlineLevel="2" spans="1:57">
      <c r="A42" s="162">
        <f>1+N(A41)</f>
        <v>4</v>
      </c>
      <c r="B42" s="14" t="s">
        <v>71</v>
      </c>
      <c r="C42" s="15" t="s">
        <v>72</v>
      </c>
      <c r="D42" s="142" t="s">
        <v>63</v>
      </c>
      <c r="E42" s="143">
        <v>71.7</v>
      </c>
      <c r="F42" s="143">
        <f>$F$11</f>
        <v>40</v>
      </c>
      <c r="G42" s="143">
        <f>$G$11</f>
        <v>15</v>
      </c>
      <c r="H42" s="143">
        <f>$H$11</f>
        <v>0.8</v>
      </c>
      <c r="I42" s="17">
        <f>(F42+G42+H42)*$I$3</f>
        <v>5.58</v>
      </c>
      <c r="J42" s="18">
        <f>ROUND(SUM(F42:I42),2)</f>
        <v>61.38</v>
      </c>
      <c r="K42" s="19">
        <f>ROUND(J42*E42,2)</f>
        <v>4400.95</v>
      </c>
      <c r="L42" s="135"/>
      <c r="M42" s="139">
        <v>1</v>
      </c>
      <c r="N42" s="139"/>
      <c r="O42" s="139"/>
      <c r="P42" s="37">
        <f>Q42+Q42*R42+S42+T42+U42</f>
        <v>55.8</v>
      </c>
      <c r="Q42" s="99">
        <f>$Q$11</f>
        <v>15</v>
      </c>
      <c r="R42" s="163">
        <f>$R$11</f>
        <v>0</v>
      </c>
      <c r="S42" s="99">
        <f>$S$11</f>
        <v>40</v>
      </c>
      <c r="T42" s="99">
        <f>$T$11</f>
        <v>0.5</v>
      </c>
      <c r="U42" s="99">
        <f>$U$11</f>
        <v>0.3</v>
      </c>
      <c r="V42" s="37">
        <f>P42*E42</f>
        <v>4000.86</v>
      </c>
      <c r="W42" s="139"/>
      <c r="X42" s="139"/>
      <c r="Y42" s="139"/>
      <c r="Z42" s="139"/>
      <c r="AA42" s="139"/>
      <c r="AB42" s="139"/>
      <c r="AC42" s="139"/>
      <c r="AD42" s="139"/>
      <c r="AE42" s="139"/>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row>
    <row r="43" s="119" customFormat="1" ht="24" customHeight="1" outlineLevel="1" spans="1:57">
      <c r="A43" s="141"/>
      <c r="B43" s="14" t="s">
        <v>73</v>
      </c>
      <c r="C43" s="15"/>
      <c r="D43" s="142"/>
      <c r="E43" s="143"/>
      <c r="F43" s="143"/>
      <c r="G43" s="143"/>
      <c r="H43" s="143"/>
      <c r="I43" s="143"/>
      <c r="J43" s="143"/>
      <c r="K43" s="144"/>
      <c r="L43" s="135"/>
      <c r="M43" s="139"/>
      <c r="N43" s="139"/>
      <c r="O43" s="139"/>
      <c r="P43" s="137"/>
      <c r="Q43" s="137"/>
      <c r="R43" s="138"/>
      <c r="S43" s="137"/>
      <c r="T43" s="137"/>
      <c r="U43" s="137"/>
      <c r="V43" s="137"/>
      <c r="W43" s="139"/>
      <c r="X43" s="139"/>
      <c r="Y43" s="139"/>
      <c r="Z43" s="139"/>
      <c r="AA43" s="139"/>
      <c r="AB43" s="139"/>
      <c r="AC43" s="139"/>
      <c r="AD43" s="139"/>
      <c r="AE43" s="139"/>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row>
    <row r="44" s="119" customFormat="1" ht="72" customHeight="1" outlineLevel="2" spans="1:57">
      <c r="A44" s="162">
        <f t="shared" ref="A44:A50" si="9">1+N(A43)</f>
        <v>1</v>
      </c>
      <c r="B44" s="164" t="s">
        <v>74</v>
      </c>
      <c r="C44" s="15" t="s">
        <v>75</v>
      </c>
      <c r="D44" s="142" t="s">
        <v>63</v>
      </c>
      <c r="E44" s="143">
        <v>16.166</v>
      </c>
      <c r="F44" s="143">
        <f>$F$13</f>
        <v>95</v>
      </c>
      <c r="G44" s="143">
        <f>$G$13</f>
        <v>813.75</v>
      </c>
      <c r="H44" s="143">
        <f>$H$13</f>
        <v>18.3</v>
      </c>
      <c r="I44" s="17">
        <f t="shared" ref="I44:I50" si="10">(F44+G44+H44)*$I$3</f>
        <v>92.705</v>
      </c>
      <c r="J44" s="18">
        <f t="shared" ref="J44:J50" si="11">ROUND(SUM(F44:I44),2)</f>
        <v>1019.76</v>
      </c>
      <c r="K44" s="19">
        <f t="shared" ref="K44:K50" si="12">ROUND(J44*E44,2)</f>
        <v>16485.44</v>
      </c>
      <c r="L44" s="135"/>
      <c r="M44" s="139">
        <v>1</v>
      </c>
      <c r="N44" s="139"/>
      <c r="O44" s="139"/>
      <c r="P44" s="37">
        <f t="shared" ref="P44:P50" si="13">Q44+Q44*R44+S44+T44+U44</f>
        <v>927.05</v>
      </c>
      <c r="Q44" s="99">
        <f>$Q$13</f>
        <v>775</v>
      </c>
      <c r="R44" s="163">
        <f>$R$13</f>
        <v>0.05</v>
      </c>
      <c r="S44" s="99">
        <f>$S$13</f>
        <v>95</v>
      </c>
      <c r="T44" s="99">
        <f>$T$13</f>
        <v>16.8</v>
      </c>
      <c r="U44" s="99">
        <f>$U$13</f>
        <v>1.5</v>
      </c>
      <c r="V44" s="37">
        <f t="shared" ref="V44:V50" si="14">P44*E44</f>
        <v>14986.6903</v>
      </c>
      <c r="W44" s="139"/>
      <c r="X44" s="139"/>
      <c r="Y44" s="139"/>
      <c r="Z44" s="139"/>
      <c r="AA44" s="139"/>
      <c r="AB44" s="139"/>
      <c r="AC44" s="139"/>
      <c r="AD44" s="139"/>
      <c r="AE44" s="139"/>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row>
    <row r="45" s="119" customFormat="1" ht="96" customHeight="1" outlineLevel="2" spans="1:57">
      <c r="A45" s="162">
        <f t="shared" si="9"/>
        <v>2</v>
      </c>
      <c r="B45" s="165" t="s">
        <v>76</v>
      </c>
      <c r="C45" s="166" t="s">
        <v>77</v>
      </c>
      <c r="D45" s="142" t="s">
        <v>63</v>
      </c>
      <c r="E45" s="143">
        <v>58.195</v>
      </c>
      <c r="F45" s="143">
        <f>$F$14</f>
        <v>145</v>
      </c>
      <c r="G45" s="143">
        <f>$G$14</f>
        <v>651</v>
      </c>
      <c r="H45" s="143">
        <f>$H$14</f>
        <v>113.55</v>
      </c>
      <c r="I45" s="17">
        <f t="shared" si="10"/>
        <v>90.955</v>
      </c>
      <c r="J45" s="18">
        <f t="shared" si="11"/>
        <v>1000.51</v>
      </c>
      <c r="K45" s="19">
        <f t="shared" si="12"/>
        <v>58224.68</v>
      </c>
      <c r="L45" s="135"/>
      <c r="M45" s="139">
        <v>1</v>
      </c>
      <c r="N45" s="139"/>
      <c r="O45" s="139"/>
      <c r="P45" s="37">
        <f t="shared" si="13"/>
        <v>909.55</v>
      </c>
      <c r="Q45" s="99">
        <f>$Q$14</f>
        <v>620</v>
      </c>
      <c r="R45" s="163">
        <f>$R$14</f>
        <v>0.05</v>
      </c>
      <c r="S45" s="99">
        <f>$S$14</f>
        <v>145</v>
      </c>
      <c r="T45" s="99">
        <f>$T$14</f>
        <v>111.75</v>
      </c>
      <c r="U45" s="99">
        <f>$U$14</f>
        <v>1.8</v>
      </c>
      <c r="V45" s="37">
        <f t="shared" si="14"/>
        <v>52931.26225</v>
      </c>
      <c r="W45" s="139"/>
      <c r="X45" s="139"/>
      <c r="Y45" s="139"/>
      <c r="Z45" s="139"/>
      <c r="AA45" s="139"/>
      <c r="AB45" s="139"/>
      <c r="AC45" s="139"/>
      <c r="AD45" s="139"/>
      <c r="AE45" s="139"/>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row>
    <row r="46" s="119" customFormat="1" ht="96" customHeight="1" outlineLevel="2" spans="1:57">
      <c r="A46" s="162">
        <f t="shared" si="9"/>
        <v>3</v>
      </c>
      <c r="B46" s="165" t="s">
        <v>78</v>
      </c>
      <c r="C46" s="166" t="s">
        <v>79</v>
      </c>
      <c r="D46" s="142" t="s">
        <v>63</v>
      </c>
      <c r="E46" s="143">
        <v>12.33</v>
      </c>
      <c r="F46" s="143">
        <f>$F$15</f>
        <v>145</v>
      </c>
      <c r="G46" s="143">
        <f>$G$15</f>
        <v>813.75</v>
      </c>
      <c r="H46" s="143">
        <f>$H$15</f>
        <v>113.55</v>
      </c>
      <c r="I46" s="17">
        <f t="shared" si="10"/>
        <v>107.23</v>
      </c>
      <c r="J46" s="18">
        <f t="shared" si="11"/>
        <v>1179.53</v>
      </c>
      <c r="K46" s="19">
        <f t="shared" si="12"/>
        <v>14543.6</v>
      </c>
      <c r="L46" s="135"/>
      <c r="M46" s="139">
        <v>1</v>
      </c>
      <c r="N46" s="139"/>
      <c r="O46" s="139"/>
      <c r="P46" s="37">
        <f t="shared" si="13"/>
        <v>1072.3</v>
      </c>
      <c r="Q46" s="99">
        <f>$Q$15</f>
        <v>775</v>
      </c>
      <c r="R46" s="163">
        <f>$R$15</f>
        <v>0.05</v>
      </c>
      <c r="S46" s="99">
        <f>$S$15</f>
        <v>145</v>
      </c>
      <c r="T46" s="99">
        <f>$T$15</f>
        <v>111.75</v>
      </c>
      <c r="U46" s="99">
        <f>$U$15</f>
        <v>1.8</v>
      </c>
      <c r="V46" s="37">
        <f t="shared" si="14"/>
        <v>13221.459</v>
      </c>
      <c r="W46" s="139"/>
      <c r="X46" s="139"/>
      <c r="Y46" s="139"/>
      <c r="Z46" s="139"/>
      <c r="AA46" s="139"/>
      <c r="AB46" s="139"/>
      <c r="AC46" s="139"/>
      <c r="AD46" s="139"/>
      <c r="AE46" s="139"/>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row>
    <row r="47" s="119" customFormat="1" ht="72" customHeight="1" outlineLevel="2" spans="1:57">
      <c r="A47" s="162">
        <f t="shared" si="9"/>
        <v>4</v>
      </c>
      <c r="B47" s="165" t="s">
        <v>80</v>
      </c>
      <c r="C47" s="166" t="s">
        <v>81</v>
      </c>
      <c r="D47" s="165" t="s">
        <v>63</v>
      </c>
      <c r="E47" s="143">
        <v>5.548</v>
      </c>
      <c r="F47" s="143">
        <f>$F$16</f>
        <v>91.5</v>
      </c>
      <c r="G47" s="143">
        <f>$G$16</f>
        <v>5.555</v>
      </c>
      <c r="H47" s="143">
        <f>$H$16</f>
        <v>56.797</v>
      </c>
      <c r="I47" s="17">
        <f t="shared" si="10"/>
        <v>15.3852</v>
      </c>
      <c r="J47" s="18">
        <f t="shared" si="11"/>
        <v>169.24</v>
      </c>
      <c r="K47" s="19">
        <f t="shared" si="12"/>
        <v>938.94</v>
      </c>
      <c r="L47" s="135"/>
      <c r="M47" s="139">
        <v>1</v>
      </c>
      <c r="N47" s="139"/>
      <c r="O47" s="139"/>
      <c r="P47" s="37">
        <f t="shared" si="13"/>
        <v>153.852</v>
      </c>
      <c r="Q47" s="99">
        <f>$Q$16</f>
        <v>5.5</v>
      </c>
      <c r="R47" s="163">
        <f>$R$16</f>
        <v>0.01</v>
      </c>
      <c r="S47" s="99">
        <f>$S$16</f>
        <v>91.5</v>
      </c>
      <c r="T47" s="99">
        <f>$T$16</f>
        <v>55.997</v>
      </c>
      <c r="U47" s="99">
        <f>$U$16</f>
        <v>0.8</v>
      </c>
      <c r="V47" s="37">
        <f t="shared" si="14"/>
        <v>853.570896</v>
      </c>
      <c r="W47" s="139"/>
      <c r="X47" s="139"/>
      <c r="Y47" s="139"/>
      <c r="Z47" s="139"/>
      <c r="AA47" s="139"/>
      <c r="AB47" s="139"/>
      <c r="AC47" s="139"/>
      <c r="AD47" s="139"/>
      <c r="AE47" s="139"/>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row>
    <row r="48" s="119" customFormat="1" ht="48" customHeight="1" outlineLevel="2" spans="1:57">
      <c r="A48" s="162">
        <f t="shared" si="9"/>
        <v>5</v>
      </c>
      <c r="B48" s="165" t="s">
        <v>91</v>
      </c>
      <c r="C48" s="166" t="s">
        <v>92</v>
      </c>
      <c r="D48" s="165" t="s">
        <v>70</v>
      </c>
      <c r="E48" s="143">
        <v>30.137</v>
      </c>
      <c r="F48" s="143">
        <f>$F$22</f>
        <v>12</v>
      </c>
      <c r="G48" s="143">
        <f>$G$22</f>
        <v>25.75</v>
      </c>
      <c r="H48" s="143">
        <f>$H$22</f>
        <v>3.8</v>
      </c>
      <c r="I48" s="17">
        <f t="shared" si="10"/>
        <v>4.155</v>
      </c>
      <c r="J48" s="18">
        <f t="shared" si="11"/>
        <v>45.71</v>
      </c>
      <c r="K48" s="19">
        <f t="shared" si="12"/>
        <v>1377.56</v>
      </c>
      <c r="L48" s="135"/>
      <c r="M48" s="139">
        <v>1</v>
      </c>
      <c r="N48" s="139"/>
      <c r="O48" s="139"/>
      <c r="P48" s="37">
        <f t="shared" si="13"/>
        <v>41.55</v>
      </c>
      <c r="Q48" s="99">
        <f>$Q$22</f>
        <v>25</v>
      </c>
      <c r="R48" s="163">
        <f>$R$22</f>
        <v>0.03</v>
      </c>
      <c r="S48" s="99">
        <f>$S$22</f>
        <v>12</v>
      </c>
      <c r="T48" s="99">
        <f>$T$22</f>
        <v>3.5</v>
      </c>
      <c r="U48" s="99">
        <f>$U$22</f>
        <v>0.3</v>
      </c>
      <c r="V48" s="37">
        <f t="shared" si="14"/>
        <v>1252.19235</v>
      </c>
      <c r="W48" s="139"/>
      <c r="X48" s="139"/>
      <c r="Y48" s="139"/>
      <c r="Z48" s="139"/>
      <c r="AA48" s="139"/>
      <c r="AB48" s="139"/>
      <c r="AC48" s="139"/>
      <c r="AD48" s="139"/>
      <c r="AE48" s="139"/>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row>
    <row r="49" s="119" customFormat="1" ht="48" customHeight="1" outlineLevel="2" spans="1:57">
      <c r="A49" s="162">
        <f t="shared" si="9"/>
        <v>6</v>
      </c>
      <c r="B49" s="165" t="s">
        <v>97</v>
      </c>
      <c r="C49" s="166" t="s">
        <v>98</v>
      </c>
      <c r="D49" s="165" t="s">
        <v>70</v>
      </c>
      <c r="E49" s="143">
        <v>30.137</v>
      </c>
      <c r="F49" s="143">
        <f>$F$25</f>
        <v>22</v>
      </c>
      <c r="G49" s="143">
        <f>$G$25</f>
        <v>58.195</v>
      </c>
      <c r="H49" s="143">
        <f>$H$25</f>
        <v>6.3</v>
      </c>
      <c r="I49" s="17">
        <f t="shared" si="10"/>
        <v>8.6495</v>
      </c>
      <c r="J49" s="18">
        <f t="shared" si="11"/>
        <v>95.14</v>
      </c>
      <c r="K49" s="19">
        <f t="shared" si="12"/>
        <v>2867.23</v>
      </c>
      <c r="L49" s="135"/>
      <c r="M49" s="139">
        <v>1</v>
      </c>
      <c r="N49" s="139"/>
      <c r="O49" s="139"/>
      <c r="P49" s="37">
        <f t="shared" si="13"/>
        <v>86.495</v>
      </c>
      <c r="Q49" s="99">
        <f>$Q$25</f>
        <v>56.5</v>
      </c>
      <c r="R49" s="163">
        <f>$R$25</f>
        <v>0.03</v>
      </c>
      <c r="S49" s="99">
        <f>$S$25</f>
        <v>22</v>
      </c>
      <c r="T49" s="99">
        <f>$T$25</f>
        <v>6</v>
      </c>
      <c r="U49" s="99">
        <f>$U$25</f>
        <v>0.3</v>
      </c>
      <c r="V49" s="37">
        <f t="shared" si="14"/>
        <v>2606.699815</v>
      </c>
      <c r="W49" s="139"/>
      <c r="X49" s="139"/>
      <c r="Y49" s="139"/>
      <c r="Z49" s="139"/>
      <c r="AA49" s="139"/>
      <c r="AB49" s="139"/>
      <c r="AC49" s="139"/>
      <c r="AD49" s="139"/>
      <c r="AE49" s="139"/>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row>
    <row r="50" s="119" customFormat="1" ht="48" customHeight="1" outlineLevel="2" spans="1:57">
      <c r="A50" s="162">
        <f t="shared" si="9"/>
        <v>7</v>
      </c>
      <c r="B50" s="165" t="s">
        <v>99</v>
      </c>
      <c r="C50" s="166" t="s">
        <v>100</v>
      </c>
      <c r="D50" s="165" t="s">
        <v>70</v>
      </c>
      <c r="E50" s="143">
        <v>30.137</v>
      </c>
      <c r="F50" s="143">
        <f>$F$26</f>
        <v>12</v>
      </c>
      <c r="G50" s="143">
        <f>$G$26</f>
        <v>23.4325</v>
      </c>
      <c r="H50" s="143">
        <f>$H$26</f>
        <v>3.8</v>
      </c>
      <c r="I50" s="17">
        <f t="shared" si="10"/>
        <v>3.92325</v>
      </c>
      <c r="J50" s="18">
        <f t="shared" si="11"/>
        <v>43.16</v>
      </c>
      <c r="K50" s="19">
        <f t="shared" si="12"/>
        <v>1300.71</v>
      </c>
      <c r="L50" s="135"/>
      <c r="M50" s="139">
        <v>1</v>
      </c>
      <c r="N50" s="139"/>
      <c r="O50" s="139"/>
      <c r="P50" s="37">
        <f t="shared" si="13"/>
        <v>39.2325</v>
      </c>
      <c r="Q50" s="99">
        <f>$Q$26</f>
        <v>22.75</v>
      </c>
      <c r="R50" s="163">
        <f>$R$26</f>
        <v>0.03</v>
      </c>
      <c r="S50" s="99">
        <f>$S$26</f>
        <v>12</v>
      </c>
      <c r="T50" s="99">
        <f>$T$26</f>
        <v>3.5</v>
      </c>
      <c r="U50" s="99">
        <f>$U$26</f>
        <v>0.3</v>
      </c>
      <c r="V50" s="37">
        <f t="shared" si="14"/>
        <v>1182.3498525</v>
      </c>
      <c r="W50" s="139"/>
      <c r="X50" s="139"/>
      <c r="Y50" s="139"/>
      <c r="Z50" s="139"/>
      <c r="AA50" s="139"/>
      <c r="AB50" s="139"/>
      <c r="AC50" s="139"/>
      <c r="AD50" s="139"/>
      <c r="AE50" s="139"/>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row>
    <row r="51" s="119" customFormat="1" ht="24" customHeight="1" outlineLevel="1" spans="1:57">
      <c r="A51" s="141"/>
      <c r="B51" s="14" t="s">
        <v>101</v>
      </c>
      <c r="C51" s="15"/>
      <c r="D51" s="142"/>
      <c r="E51" s="143"/>
      <c r="F51" s="143"/>
      <c r="G51" s="143"/>
      <c r="H51" s="143"/>
      <c r="I51" s="143"/>
      <c r="J51" s="143"/>
      <c r="K51" s="144"/>
      <c r="L51" s="135"/>
      <c r="M51" s="139"/>
      <c r="N51" s="139"/>
      <c r="O51" s="139"/>
      <c r="P51" s="137"/>
      <c r="Q51" s="137"/>
      <c r="R51" s="138"/>
      <c r="S51" s="137"/>
      <c r="T51" s="137"/>
      <c r="U51" s="137"/>
      <c r="V51" s="137"/>
      <c r="W51" s="139"/>
      <c r="X51" s="139"/>
      <c r="Y51" s="139"/>
      <c r="Z51" s="139"/>
      <c r="AA51" s="139"/>
      <c r="AB51" s="139"/>
      <c r="AC51" s="139"/>
      <c r="AD51" s="139"/>
      <c r="AE51" s="139"/>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row>
    <row r="52" s="119" customFormat="1" ht="96" customHeight="1" outlineLevel="2" spans="1:57">
      <c r="A52" s="162">
        <f t="shared" ref="A52:A57" si="15">1+N(A51)</f>
        <v>1</v>
      </c>
      <c r="B52" s="14" t="s">
        <v>102</v>
      </c>
      <c r="C52" s="167" t="s">
        <v>103</v>
      </c>
      <c r="D52" s="142" t="s">
        <v>63</v>
      </c>
      <c r="E52" s="143">
        <f>71.7-34.72</f>
        <v>36.98</v>
      </c>
      <c r="F52" s="143">
        <f>$F$28</f>
        <v>70</v>
      </c>
      <c r="G52" s="143">
        <f>$G$28</f>
        <v>0</v>
      </c>
      <c r="H52" s="143">
        <f>$H$28</f>
        <v>66.711</v>
      </c>
      <c r="I52" s="17">
        <f t="shared" ref="I52:I57" si="16">(F52+G52+H52)*$I$3</f>
        <v>13.6711</v>
      </c>
      <c r="J52" s="18">
        <f t="shared" ref="J52:J57" si="17">ROUND(SUM(F52:I52),2)</f>
        <v>150.38</v>
      </c>
      <c r="K52" s="19">
        <f t="shared" ref="K52:K57" si="18">ROUND(J52*E52,2)</f>
        <v>5561.05</v>
      </c>
      <c r="L52" s="135"/>
      <c r="M52" s="139">
        <v>1</v>
      </c>
      <c r="N52" s="139"/>
      <c r="O52" s="139"/>
      <c r="P52" s="37">
        <f t="shared" ref="P52:P57" si="19">Q52+Q52*R52+S52+T52+U52</f>
        <v>136.711</v>
      </c>
      <c r="Q52" s="99">
        <f>$Q$28</f>
        <v>0</v>
      </c>
      <c r="R52" s="163">
        <f>$R$28</f>
        <v>0.01</v>
      </c>
      <c r="S52" s="99">
        <f>$S$28</f>
        <v>70</v>
      </c>
      <c r="T52" s="99">
        <f>$T$28</f>
        <v>64.711</v>
      </c>
      <c r="U52" s="99">
        <f>$U$28</f>
        <v>2</v>
      </c>
      <c r="V52" s="37">
        <f t="shared" ref="V52:V57" si="20">P52*E52</f>
        <v>5055.57278</v>
      </c>
      <c r="W52" s="139"/>
      <c r="X52" s="139"/>
      <c r="Y52" s="139"/>
      <c r="Z52" s="139"/>
      <c r="AA52" s="139"/>
      <c r="AB52" s="139"/>
      <c r="AC52" s="139"/>
      <c r="AD52" s="139"/>
      <c r="AE52" s="139"/>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row>
    <row r="53" s="119" customFormat="1" ht="108" customHeight="1" outlineLevel="2" spans="1:57">
      <c r="A53" s="145">
        <f t="shared" si="15"/>
        <v>2</v>
      </c>
      <c r="B53" s="146" t="s">
        <v>123</v>
      </c>
      <c r="C53" s="161" t="s">
        <v>124</v>
      </c>
      <c r="D53" s="148" t="s">
        <v>63</v>
      </c>
      <c r="E53" s="149">
        <v>34.72</v>
      </c>
      <c r="F53" s="149">
        <f>S53*$S$1</f>
        <v>150</v>
      </c>
      <c r="G53" s="149">
        <f>Q53*(1+R53)*$Q$1</f>
        <v>0</v>
      </c>
      <c r="H53" s="149">
        <f>(T53+U53)*$T$1</f>
        <v>66.711</v>
      </c>
      <c r="I53" s="150">
        <f t="shared" si="16"/>
        <v>21.6711</v>
      </c>
      <c r="J53" s="151">
        <f t="shared" si="17"/>
        <v>238.38</v>
      </c>
      <c r="K53" s="152">
        <f t="shared" si="18"/>
        <v>8276.55</v>
      </c>
      <c r="L53" s="153"/>
      <c r="M53" s="139">
        <v>1</v>
      </c>
      <c r="N53" s="139"/>
      <c r="O53" s="139"/>
      <c r="P53" s="37">
        <f t="shared" si="19"/>
        <v>216.711</v>
      </c>
      <c r="Q53" s="71"/>
      <c r="R53" s="157">
        <v>0.01</v>
      </c>
      <c r="S53" s="71">
        <v>150</v>
      </c>
      <c r="T53" s="71">
        <v>64.711</v>
      </c>
      <c r="U53" s="71">
        <v>2</v>
      </c>
      <c r="V53" s="37">
        <f t="shared" si="20"/>
        <v>7524.20592</v>
      </c>
      <c r="W53" s="139"/>
      <c r="X53" s="139"/>
      <c r="Y53" s="139"/>
      <c r="Z53" s="139"/>
      <c r="AA53" s="139"/>
      <c r="AB53" s="139"/>
      <c r="AC53" s="139"/>
      <c r="AD53" s="139"/>
      <c r="AE53" s="139"/>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row>
    <row r="54" s="119" customFormat="1" ht="72" customHeight="1" outlineLevel="2" spans="1:57">
      <c r="A54" s="162">
        <f t="shared" si="15"/>
        <v>3</v>
      </c>
      <c r="B54" s="14" t="s">
        <v>104</v>
      </c>
      <c r="C54" s="167" t="s">
        <v>105</v>
      </c>
      <c r="D54" s="142" t="s">
        <v>70</v>
      </c>
      <c r="E54" s="143">
        <v>74.1</v>
      </c>
      <c r="F54" s="143">
        <f>$F$29</f>
        <v>50</v>
      </c>
      <c r="G54" s="143">
        <f>$G$29</f>
        <v>0</v>
      </c>
      <c r="H54" s="143">
        <f>$H$29</f>
        <v>22.0941</v>
      </c>
      <c r="I54" s="17">
        <f t="shared" si="16"/>
        <v>7.20941</v>
      </c>
      <c r="J54" s="18">
        <f t="shared" si="17"/>
        <v>79.3</v>
      </c>
      <c r="K54" s="19">
        <f t="shared" si="18"/>
        <v>5876.13</v>
      </c>
      <c r="L54" s="135"/>
      <c r="M54" s="139">
        <v>1</v>
      </c>
      <c r="N54" s="139"/>
      <c r="O54" s="139"/>
      <c r="P54" s="37">
        <f t="shared" si="19"/>
        <v>72.0941</v>
      </c>
      <c r="Q54" s="99">
        <f>$Q$29</f>
        <v>0</v>
      </c>
      <c r="R54" s="163">
        <f>$R$29</f>
        <v>0.01</v>
      </c>
      <c r="S54" s="99">
        <f>$S$29</f>
        <v>50</v>
      </c>
      <c r="T54" s="99">
        <f>$T$29</f>
        <v>22.0941</v>
      </c>
      <c r="U54" s="99">
        <f>$U$29</f>
        <v>0</v>
      </c>
      <c r="V54" s="37">
        <f t="shared" si="20"/>
        <v>5342.17281</v>
      </c>
      <c r="W54" s="139"/>
      <c r="X54" s="139"/>
      <c r="Y54" s="139"/>
      <c r="Z54" s="139"/>
      <c r="AA54" s="139"/>
      <c r="AB54" s="139"/>
      <c r="AC54" s="139"/>
      <c r="AD54" s="139"/>
      <c r="AE54" s="139"/>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row>
    <row r="55" s="119" customFormat="1" ht="72" customHeight="1" outlineLevel="2" spans="1:57">
      <c r="A55" s="162">
        <f t="shared" si="15"/>
        <v>4</v>
      </c>
      <c r="B55" s="14" t="s">
        <v>106</v>
      </c>
      <c r="C55" s="15" t="s">
        <v>107</v>
      </c>
      <c r="D55" s="142" t="s">
        <v>70</v>
      </c>
      <c r="E55" s="143">
        <v>74.1</v>
      </c>
      <c r="F55" s="143">
        <f>$F$30</f>
        <v>18</v>
      </c>
      <c r="G55" s="143">
        <f>$G$30</f>
        <v>163.255</v>
      </c>
      <c r="H55" s="143">
        <f>$H$30</f>
        <v>3.8</v>
      </c>
      <c r="I55" s="17">
        <f t="shared" si="16"/>
        <v>18.5055</v>
      </c>
      <c r="J55" s="18">
        <f t="shared" si="17"/>
        <v>203.56</v>
      </c>
      <c r="K55" s="19">
        <f t="shared" si="18"/>
        <v>15083.8</v>
      </c>
      <c r="L55" s="135"/>
      <c r="M55" s="139">
        <v>1</v>
      </c>
      <c r="N55" s="139"/>
      <c r="O55" s="139"/>
      <c r="P55" s="37">
        <f t="shared" si="19"/>
        <v>185.055</v>
      </c>
      <c r="Q55" s="99">
        <f>$Q$30</f>
        <v>158.5</v>
      </c>
      <c r="R55" s="163">
        <f>$R$30</f>
        <v>0.03</v>
      </c>
      <c r="S55" s="99">
        <f>$S$30</f>
        <v>18</v>
      </c>
      <c r="T55" s="99">
        <f>$T$30</f>
        <v>3.5</v>
      </c>
      <c r="U55" s="99">
        <f>$U$30</f>
        <v>0.3</v>
      </c>
      <c r="V55" s="37">
        <f t="shared" si="20"/>
        <v>13712.5755</v>
      </c>
      <c r="W55" s="139"/>
      <c r="X55" s="139"/>
      <c r="Y55" s="139"/>
      <c r="Z55" s="139"/>
      <c r="AA55" s="139"/>
      <c r="AB55" s="139"/>
      <c r="AC55" s="139"/>
      <c r="AD55" s="139"/>
      <c r="AE55" s="139"/>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row>
    <row r="56" s="119" customFormat="1" ht="72" customHeight="1" outlineLevel="2" spans="1:57">
      <c r="A56" s="162">
        <f t="shared" si="15"/>
        <v>5</v>
      </c>
      <c r="B56" s="14" t="s">
        <v>108</v>
      </c>
      <c r="C56" s="15" t="s">
        <v>109</v>
      </c>
      <c r="D56" s="142" t="s">
        <v>70</v>
      </c>
      <c r="E56" s="143">
        <f>1.2*2*2</f>
        <v>4.8</v>
      </c>
      <c r="F56" s="143">
        <f>$F$31</f>
        <v>30</v>
      </c>
      <c r="G56" s="143">
        <f>$G$31</f>
        <v>65.6625</v>
      </c>
      <c r="H56" s="143">
        <f>$H$31</f>
        <v>2.7</v>
      </c>
      <c r="I56" s="17">
        <f t="shared" si="16"/>
        <v>9.83625</v>
      </c>
      <c r="J56" s="18">
        <f t="shared" si="17"/>
        <v>108.2</v>
      </c>
      <c r="K56" s="19">
        <f t="shared" si="18"/>
        <v>519.36</v>
      </c>
      <c r="L56" s="135"/>
      <c r="M56" s="139">
        <v>1</v>
      </c>
      <c r="N56" s="139"/>
      <c r="O56" s="139"/>
      <c r="P56" s="37">
        <f t="shared" si="19"/>
        <v>98.3625</v>
      </c>
      <c r="Q56" s="99">
        <f>$Q$31</f>
        <v>63.75</v>
      </c>
      <c r="R56" s="163">
        <f>$R$31</f>
        <v>0.03</v>
      </c>
      <c r="S56" s="99">
        <f>$S$31</f>
        <v>30</v>
      </c>
      <c r="T56" s="99">
        <f>$T$31</f>
        <v>2.5</v>
      </c>
      <c r="U56" s="99">
        <f>$U$31</f>
        <v>0.2</v>
      </c>
      <c r="V56" s="37">
        <f t="shared" si="20"/>
        <v>472.14</v>
      </c>
      <c r="W56" s="139"/>
      <c r="X56" s="139"/>
      <c r="Y56" s="139"/>
      <c r="Z56" s="139"/>
      <c r="AA56" s="139"/>
      <c r="AB56" s="139"/>
      <c r="AC56" s="139"/>
      <c r="AD56" s="139"/>
      <c r="AE56" s="139"/>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row>
    <row r="57" s="119" customFormat="1" ht="72" customHeight="1" outlineLevel="2" spans="1:57">
      <c r="A57" s="162">
        <f t="shared" si="15"/>
        <v>6</v>
      </c>
      <c r="B57" s="14" t="s">
        <v>110</v>
      </c>
      <c r="C57" s="15" t="s">
        <v>111</v>
      </c>
      <c r="D57" s="142" t="s">
        <v>63</v>
      </c>
      <c r="E57" s="143">
        <f>71.7+74.1*0.3</f>
        <v>93.93</v>
      </c>
      <c r="F57" s="143">
        <f>$F$32</f>
        <v>45</v>
      </c>
      <c r="G57" s="143">
        <f>$G$32</f>
        <v>85.5</v>
      </c>
      <c r="H57" s="143">
        <f>$H$32</f>
        <v>7.3</v>
      </c>
      <c r="I57" s="17">
        <f t="shared" si="16"/>
        <v>13.78</v>
      </c>
      <c r="J57" s="18">
        <f t="shared" si="17"/>
        <v>151.58</v>
      </c>
      <c r="K57" s="19">
        <f t="shared" si="18"/>
        <v>14237.91</v>
      </c>
      <c r="L57" s="135"/>
      <c r="M57" s="139">
        <v>1</v>
      </c>
      <c r="N57" s="139"/>
      <c r="O57" s="139"/>
      <c r="P57" s="37">
        <f t="shared" si="19"/>
        <v>137.8</v>
      </c>
      <c r="Q57" s="99">
        <f>$Q$32</f>
        <v>85.5</v>
      </c>
      <c r="R57" s="163">
        <f>$R$32</f>
        <v>0</v>
      </c>
      <c r="S57" s="99">
        <f>$S$32</f>
        <v>45</v>
      </c>
      <c r="T57" s="99">
        <f>$T$32</f>
        <v>6.5</v>
      </c>
      <c r="U57" s="99">
        <f>$U$32</f>
        <v>0.8</v>
      </c>
      <c r="V57" s="37">
        <f t="shared" si="20"/>
        <v>12943.554</v>
      </c>
      <c r="W57" s="139"/>
      <c r="X57" s="139"/>
      <c r="Y57" s="139"/>
      <c r="Z57" s="139"/>
      <c r="AA57" s="139"/>
      <c r="AB57" s="139"/>
      <c r="AC57" s="139"/>
      <c r="AD57" s="139"/>
      <c r="AE57" s="139"/>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row>
    <row r="58" s="119" customFormat="1" ht="24" customHeight="1" outlineLevel="1" spans="1:57">
      <c r="A58" s="141"/>
      <c r="B58" s="14" t="s">
        <v>112</v>
      </c>
      <c r="C58" s="15"/>
      <c r="D58" s="142"/>
      <c r="E58" s="143"/>
      <c r="F58" s="143"/>
      <c r="G58" s="143"/>
      <c r="H58" s="143"/>
      <c r="I58" s="143"/>
      <c r="J58" s="143"/>
      <c r="K58" s="144"/>
      <c r="L58" s="135"/>
      <c r="M58" s="139"/>
      <c r="N58" s="139"/>
      <c r="O58" s="139"/>
      <c r="P58" s="137"/>
      <c r="Q58" s="137"/>
      <c r="R58" s="138"/>
      <c r="S58" s="137"/>
      <c r="T58" s="137"/>
      <c r="U58" s="137"/>
      <c r="V58" s="137"/>
      <c r="W58" s="139"/>
      <c r="X58" s="139"/>
      <c r="Y58" s="139"/>
      <c r="Z58" s="139"/>
      <c r="AA58" s="139"/>
      <c r="AB58" s="139"/>
      <c r="AC58" s="139"/>
      <c r="AD58" s="139"/>
      <c r="AE58" s="139"/>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row>
    <row r="59" s="119" customFormat="1" ht="36" customHeight="1" outlineLevel="2" spans="1:57">
      <c r="A59" s="145">
        <f>1+N(A58)</f>
        <v>1</v>
      </c>
      <c r="B59" s="146" t="s">
        <v>125</v>
      </c>
      <c r="C59" s="147" t="s">
        <v>114</v>
      </c>
      <c r="D59" s="148" t="s">
        <v>63</v>
      </c>
      <c r="E59" s="149">
        <f>0.75*3</f>
        <v>2.25</v>
      </c>
      <c r="F59" s="149">
        <f>S59*$S$1</f>
        <v>165</v>
      </c>
      <c r="G59" s="149">
        <f>Q59*(1+R59)*$Q$1</f>
        <v>85</v>
      </c>
      <c r="H59" s="149">
        <f>(T59+U59)*$T$1</f>
        <v>355.1744</v>
      </c>
      <c r="I59" s="150">
        <f>(F59+G59+H59)*$I$3</f>
        <v>60.51744</v>
      </c>
      <c r="J59" s="151">
        <f>ROUND(SUM(F59:I59),2)</f>
        <v>665.69</v>
      </c>
      <c r="K59" s="152">
        <f>ROUND(J59*E59,2)</f>
        <v>1497.8</v>
      </c>
      <c r="L59" s="153"/>
      <c r="M59" s="139">
        <v>1</v>
      </c>
      <c r="N59" s="139"/>
      <c r="O59" s="139"/>
      <c r="P59" s="37">
        <f>Q59+Q59*R59+S59+T59+U59</f>
        <v>605.1744</v>
      </c>
      <c r="Q59" s="71">
        <v>85</v>
      </c>
      <c r="R59" s="157">
        <v>0</v>
      </c>
      <c r="S59" s="71">
        <v>165</v>
      </c>
      <c r="T59" s="71">
        <v>353.6744</v>
      </c>
      <c r="U59" s="71">
        <v>1.5</v>
      </c>
      <c r="V59" s="37">
        <f>P59*E59</f>
        <v>1361.6424</v>
      </c>
      <c r="W59" s="139"/>
      <c r="X59" s="139"/>
      <c r="Y59" s="139"/>
      <c r="Z59" s="139"/>
      <c r="AA59" s="139"/>
      <c r="AB59" s="139"/>
      <c r="AC59" s="139"/>
      <c r="AD59" s="139"/>
      <c r="AE59" s="139"/>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row>
    <row r="60" s="119" customFormat="1" ht="36" customHeight="1" outlineLevel="2" spans="1:57">
      <c r="A60" s="145">
        <f>1+N(A59)</f>
        <v>2</v>
      </c>
      <c r="B60" s="146" t="s">
        <v>126</v>
      </c>
      <c r="C60" s="147" t="s">
        <v>114</v>
      </c>
      <c r="D60" s="148" t="s">
        <v>63</v>
      </c>
      <c r="E60" s="149">
        <f>0.7*3</f>
        <v>2.1</v>
      </c>
      <c r="F60" s="149">
        <f>S60*$S$1</f>
        <v>165</v>
      </c>
      <c r="G60" s="149">
        <f>Q60*(1+R60)*$Q$1</f>
        <v>85</v>
      </c>
      <c r="H60" s="149">
        <f>(T60+U60)*$T$1</f>
        <v>355.1744</v>
      </c>
      <c r="I60" s="150">
        <f>(F60+G60+H60)*$I$3</f>
        <v>60.51744</v>
      </c>
      <c r="J60" s="151">
        <f>ROUND(SUM(F60:I60),2)</f>
        <v>665.69</v>
      </c>
      <c r="K60" s="152">
        <f>ROUND(J60*E60,2)</f>
        <v>1397.95</v>
      </c>
      <c r="L60" s="153"/>
      <c r="M60" s="139">
        <v>1</v>
      </c>
      <c r="N60" s="139"/>
      <c r="O60" s="139"/>
      <c r="P60" s="37">
        <f>Q60+Q60*R60+S60+T60+U60</f>
        <v>605.1744</v>
      </c>
      <c r="Q60" s="71">
        <v>85</v>
      </c>
      <c r="R60" s="157">
        <v>0</v>
      </c>
      <c r="S60" s="71">
        <v>165</v>
      </c>
      <c r="T60" s="71">
        <v>353.6744</v>
      </c>
      <c r="U60" s="71">
        <v>1.5</v>
      </c>
      <c r="V60" s="37">
        <f>P60*E60</f>
        <v>1270.86624</v>
      </c>
      <c r="W60" s="139"/>
      <c r="X60" s="139"/>
      <c r="Y60" s="139"/>
      <c r="Z60" s="139"/>
      <c r="AA60" s="139"/>
      <c r="AB60" s="139"/>
      <c r="AC60" s="139"/>
      <c r="AD60" s="139"/>
      <c r="AE60" s="139"/>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row>
    <row r="61" s="119" customFormat="1" ht="24" customHeight="1" outlineLevel="1" spans="1:57">
      <c r="A61" s="132" t="s">
        <v>127</v>
      </c>
      <c r="B61" s="8" t="s">
        <v>128</v>
      </c>
      <c r="C61" s="8"/>
      <c r="D61" s="133"/>
      <c r="E61" s="134"/>
      <c r="F61" s="134"/>
      <c r="G61" s="134"/>
      <c r="H61" s="134"/>
      <c r="I61" s="134"/>
      <c r="J61" s="134"/>
      <c r="K61" s="11"/>
      <c r="L61" s="135"/>
      <c r="M61" s="139"/>
      <c r="N61" s="139"/>
      <c r="O61" s="139" t="str">
        <f>_xlfn.DISPIMG("ID_D13A3B112CB340D4857ADF47F3345CFD",1)</f>
        <v>=DISPIMG("ID_D13A3B112CB340D4857ADF47F3345CFD",1)</v>
      </c>
      <c r="P61" s="137"/>
      <c r="Q61" s="137"/>
      <c r="R61" s="138"/>
      <c r="S61" s="137"/>
      <c r="T61" s="137"/>
      <c r="U61" s="137"/>
      <c r="V61" s="137"/>
      <c r="W61" s="139"/>
      <c r="X61" s="139"/>
      <c r="Y61" s="139"/>
      <c r="Z61" s="139"/>
      <c r="AA61" s="139"/>
      <c r="AB61" s="139"/>
      <c r="AC61" s="139"/>
      <c r="AD61" s="139"/>
      <c r="AE61" s="139"/>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row>
    <row r="62" s="119" customFormat="1" ht="24" customHeight="1" outlineLevel="1" spans="1:57">
      <c r="A62" s="141"/>
      <c r="B62" s="14" t="s">
        <v>60</v>
      </c>
      <c r="C62" s="15"/>
      <c r="D62" s="142"/>
      <c r="E62" s="143"/>
      <c r="F62" s="143"/>
      <c r="G62" s="143"/>
      <c r="H62" s="143"/>
      <c r="I62" s="143"/>
      <c r="J62" s="143"/>
      <c r="K62" s="144"/>
      <c r="L62" s="135"/>
      <c r="M62" s="139"/>
      <c r="N62" s="139"/>
      <c r="O62" s="139"/>
      <c r="P62" s="137"/>
      <c r="Q62" s="137"/>
      <c r="R62" s="138"/>
      <c r="S62" s="137"/>
      <c r="T62" s="137"/>
      <c r="U62" s="137"/>
      <c r="V62" s="137"/>
      <c r="W62" s="139"/>
      <c r="X62" s="139"/>
      <c r="Y62" s="139"/>
      <c r="Z62" s="139"/>
      <c r="AA62" s="139"/>
      <c r="AB62" s="139"/>
      <c r="AC62" s="139"/>
      <c r="AD62" s="139"/>
      <c r="AE62" s="139"/>
      <c r="AF62" s="140"/>
      <c r="AG62" s="140"/>
      <c r="AH62" s="140"/>
      <c r="AI62" s="140"/>
      <c r="AJ62" s="140"/>
      <c r="AK62" s="140"/>
      <c r="AL62" s="140"/>
      <c r="AM62" s="140"/>
      <c r="AN62" s="140"/>
      <c r="AO62" s="140"/>
      <c r="AP62" s="140"/>
      <c r="AQ62" s="140"/>
      <c r="AR62" s="140"/>
      <c r="AS62" s="140"/>
      <c r="AT62" s="140"/>
      <c r="AU62" s="140"/>
      <c r="AV62" s="140"/>
      <c r="AW62" s="140"/>
      <c r="AX62" s="140"/>
      <c r="AY62" s="140"/>
      <c r="AZ62" s="140"/>
      <c r="BA62" s="140"/>
      <c r="BB62" s="140"/>
      <c r="BC62" s="140"/>
      <c r="BD62" s="140"/>
      <c r="BE62" s="140"/>
    </row>
    <row r="63" s="119" customFormat="1" ht="96" customHeight="1" outlineLevel="2" spans="1:57">
      <c r="A63" s="162">
        <f>1+N(A62)</f>
        <v>1</v>
      </c>
      <c r="B63" s="14" t="s">
        <v>61</v>
      </c>
      <c r="C63" s="15" t="s">
        <v>62</v>
      </c>
      <c r="D63" s="142" t="s">
        <v>63</v>
      </c>
      <c r="E63" s="143">
        <v>28.2</v>
      </c>
      <c r="F63" s="143">
        <f>$F$7</f>
        <v>130</v>
      </c>
      <c r="G63" s="143">
        <f>$G$7</f>
        <v>628.3</v>
      </c>
      <c r="H63" s="17">
        <f>$H$7</f>
        <v>47.7</v>
      </c>
      <c r="I63" s="17">
        <f>(F63+G63+H63)*$I$3</f>
        <v>80.6</v>
      </c>
      <c r="J63" s="18">
        <f>ROUND(SUM(F63:I63),2)</f>
        <v>886.6</v>
      </c>
      <c r="K63" s="19">
        <f>ROUND(J63*E63,2)</f>
        <v>25002.12</v>
      </c>
      <c r="L63" s="135"/>
      <c r="M63" s="139">
        <v>1</v>
      </c>
      <c r="N63" s="139"/>
      <c r="O63" s="139"/>
      <c r="P63" s="37">
        <f>Q63+Q63*R63+S63+T63+U63</f>
        <v>806</v>
      </c>
      <c r="Q63" s="99">
        <f>$Q$7</f>
        <v>610</v>
      </c>
      <c r="R63" s="163">
        <f>$R$7</f>
        <v>0.03</v>
      </c>
      <c r="S63" s="99">
        <f>$S$7</f>
        <v>130</v>
      </c>
      <c r="T63" s="99">
        <f>$T$7</f>
        <v>46.2</v>
      </c>
      <c r="U63" s="99">
        <f>$U$7</f>
        <v>1.5</v>
      </c>
      <c r="V63" s="37">
        <f>P63*E63</f>
        <v>22729.2</v>
      </c>
      <c r="W63" s="139"/>
      <c r="X63" s="139"/>
      <c r="Y63" s="139"/>
      <c r="Z63" s="139"/>
      <c r="AA63" s="139"/>
      <c r="AB63" s="139"/>
      <c r="AC63" s="139"/>
      <c r="AD63" s="139"/>
      <c r="AE63" s="139"/>
      <c r="AF63" s="140"/>
      <c r="AG63" s="140"/>
      <c r="AH63" s="140"/>
      <c r="AI63" s="140"/>
      <c r="AJ63" s="140"/>
      <c r="AK63" s="140"/>
      <c r="AL63" s="140"/>
      <c r="AM63" s="140"/>
      <c r="AN63" s="140"/>
      <c r="AO63" s="140"/>
      <c r="AP63" s="140"/>
      <c r="AQ63" s="140"/>
      <c r="AR63" s="140"/>
      <c r="AS63" s="140"/>
      <c r="AT63" s="140"/>
      <c r="AU63" s="140"/>
      <c r="AV63" s="140"/>
      <c r="AW63" s="140"/>
      <c r="AX63" s="140"/>
      <c r="AY63" s="140"/>
      <c r="AZ63" s="140"/>
      <c r="BA63" s="140"/>
      <c r="BB63" s="140"/>
      <c r="BC63" s="140"/>
      <c r="BD63" s="140"/>
      <c r="BE63" s="140"/>
    </row>
    <row r="64" s="119" customFormat="1" ht="48" customHeight="1" outlineLevel="2" spans="1:57">
      <c r="A64" s="162">
        <f>1+N(A63)</f>
        <v>2</v>
      </c>
      <c r="B64" s="14" t="s">
        <v>71</v>
      </c>
      <c r="C64" s="15" t="s">
        <v>72</v>
      </c>
      <c r="D64" s="142" t="s">
        <v>63</v>
      </c>
      <c r="E64" s="143">
        <v>28.2</v>
      </c>
      <c r="F64" s="143">
        <f>$F$11</f>
        <v>40</v>
      </c>
      <c r="G64" s="143">
        <f>$G$11</f>
        <v>15</v>
      </c>
      <c r="H64" s="143">
        <f>$H$11</f>
        <v>0.8</v>
      </c>
      <c r="I64" s="17">
        <f>(F64+G64+H64)*$I$3</f>
        <v>5.58</v>
      </c>
      <c r="J64" s="18">
        <f>ROUND(SUM(F64:I64),2)</f>
        <v>61.38</v>
      </c>
      <c r="K64" s="19">
        <f>ROUND(J64*E64,2)</f>
        <v>1730.92</v>
      </c>
      <c r="L64" s="135"/>
      <c r="M64" s="139">
        <v>1</v>
      </c>
      <c r="N64" s="139"/>
      <c r="O64" s="139"/>
      <c r="P64" s="37">
        <f>Q64+Q64*R64+S64+T64+U64</f>
        <v>55.8</v>
      </c>
      <c r="Q64" s="99">
        <f>$Q$11</f>
        <v>15</v>
      </c>
      <c r="R64" s="163">
        <f>$R$11</f>
        <v>0</v>
      </c>
      <c r="S64" s="99">
        <f>$S$11</f>
        <v>40</v>
      </c>
      <c r="T64" s="99">
        <f>$T$11</f>
        <v>0.5</v>
      </c>
      <c r="U64" s="99">
        <f>$U$11</f>
        <v>0.3</v>
      </c>
      <c r="V64" s="37">
        <f>P64*E64</f>
        <v>1573.56</v>
      </c>
      <c r="W64" s="139"/>
      <c r="X64" s="139"/>
      <c r="Y64" s="139"/>
      <c r="Z64" s="139"/>
      <c r="AA64" s="139"/>
      <c r="AB64" s="139"/>
      <c r="AC64" s="139"/>
      <c r="AD64" s="139"/>
      <c r="AE64" s="139"/>
      <c r="AF64" s="140"/>
      <c r="AG64" s="140"/>
      <c r="AH64" s="140"/>
      <c r="AI64" s="140"/>
      <c r="AJ64" s="140"/>
      <c r="AK64" s="140"/>
      <c r="AL64" s="140"/>
      <c r="AM64" s="140"/>
      <c r="AN64" s="140"/>
      <c r="AO64" s="140"/>
      <c r="AP64" s="140"/>
      <c r="AQ64" s="140"/>
      <c r="AR64" s="140"/>
      <c r="AS64" s="140"/>
      <c r="AT64" s="140"/>
      <c r="AU64" s="140"/>
      <c r="AV64" s="140"/>
      <c r="AW64" s="140"/>
      <c r="AX64" s="140"/>
      <c r="AY64" s="140"/>
      <c r="AZ64" s="140"/>
      <c r="BA64" s="140"/>
      <c r="BB64" s="140"/>
      <c r="BC64" s="140"/>
      <c r="BD64" s="140"/>
      <c r="BE64" s="140"/>
    </row>
    <row r="65" s="119" customFormat="1" ht="24" customHeight="1" outlineLevel="1" spans="1:57">
      <c r="A65" s="141"/>
      <c r="B65" s="14" t="s">
        <v>73</v>
      </c>
      <c r="C65" s="15"/>
      <c r="D65" s="142"/>
      <c r="E65" s="143"/>
      <c r="F65" s="143"/>
      <c r="G65" s="143"/>
      <c r="H65" s="143"/>
      <c r="I65" s="143"/>
      <c r="J65" s="143"/>
      <c r="K65" s="144"/>
      <c r="L65" s="135"/>
      <c r="M65" s="139"/>
      <c r="N65" s="139"/>
      <c r="O65" s="139"/>
      <c r="P65" s="137"/>
      <c r="Q65" s="137"/>
      <c r="R65" s="138"/>
      <c r="S65" s="137"/>
      <c r="T65" s="137"/>
      <c r="U65" s="137"/>
      <c r="V65" s="137"/>
      <c r="W65" s="139"/>
      <c r="X65" s="139"/>
      <c r="Y65" s="139"/>
      <c r="Z65" s="139"/>
      <c r="AA65" s="139"/>
      <c r="AB65" s="139"/>
      <c r="AC65" s="139"/>
      <c r="AD65" s="139"/>
      <c r="AE65" s="139"/>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row>
    <row r="66" s="119" customFormat="1" ht="72" customHeight="1" outlineLevel="2" spans="1:57">
      <c r="A66" s="162">
        <f t="shared" ref="A66:A73" si="21">1+N(A65)</f>
        <v>1</v>
      </c>
      <c r="B66" s="164" t="s">
        <v>74</v>
      </c>
      <c r="C66" s="15" t="s">
        <v>75</v>
      </c>
      <c r="D66" s="142" t="s">
        <v>63</v>
      </c>
      <c r="E66" s="143">
        <v>4.458</v>
      </c>
      <c r="F66" s="143">
        <f>$F$13</f>
        <v>95</v>
      </c>
      <c r="G66" s="143">
        <f>$G$13</f>
        <v>813.75</v>
      </c>
      <c r="H66" s="143">
        <f>$H$13</f>
        <v>18.3</v>
      </c>
      <c r="I66" s="17">
        <f t="shared" ref="I66:I73" si="22">(F66+G66+H66)*$I$3</f>
        <v>92.705</v>
      </c>
      <c r="J66" s="18">
        <f t="shared" ref="J66:J73" si="23">ROUND(SUM(F66:I66),2)</f>
        <v>1019.76</v>
      </c>
      <c r="K66" s="19">
        <f t="shared" ref="K66:K73" si="24">ROUND(J66*E66,2)</f>
        <v>4546.09</v>
      </c>
      <c r="L66" s="135"/>
      <c r="M66" s="139">
        <v>1</v>
      </c>
      <c r="N66" s="139"/>
      <c r="O66" s="139"/>
      <c r="P66" s="37">
        <f t="shared" ref="P66:P73" si="25">Q66+Q66*R66+S66+T66+U66</f>
        <v>927.05</v>
      </c>
      <c r="Q66" s="99">
        <f>$Q$13</f>
        <v>775</v>
      </c>
      <c r="R66" s="163">
        <f>$R$13</f>
        <v>0.05</v>
      </c>
      <c r="S66" s="99">
        <f>$S$13</f>
        <v>95</v>
      </c>
      <c r="T66" s="99">
        <f>$T$13</f>
        <v>16.8</v>
      </c>
      <c r="U66" s="99">
        <f>$U$13</f>
        <v>1.5</v>
      </c>
      <c r="V66" s="37">
        <f t="shared" ref="V66:V73" si="26">P66*E66</f>
        <v>4132.7889</v>
      </c>
      <c r="W66" s="139"/>
      <c r="X66" s="139"/>
      <c r="Y66" s="139"/>
      <c r="Z66" s="139"/>
      <c r="AA66" s="139"/>
      <c r="AB66" s="139"/>
      <c r="AC66" s="139"/>
      <c r="AD66" s="139"/>
      <c r="AE66" s="139"/>
      <c r="AF66" s="140"/>
      <c r="AG66" s="140"/>
      <c r="AH66" s="140"/>
      <c r="AI66" s="140"/>
      <c r="AJ66" s="140"/>
      <c r="AK66" s="140"/>
      <c r="AL66" s="140"/>
      <c r="AM66" s="140"/>
      <c r="AN66" s="140"/>
      <c r="AO66" s="140"/>
      <c r="AP66" s="140"/>
      <c r="AQ66" s="140"/>
      <c r="AR66" s="140"/>
      <c r="AS66" s="140"/>
      <c r="AT66" s="140"/>
      <c r="AU66" s="140"/>
      <c r="AV66" s="140"/>
      <c r="AW66" s="140"/>
      <c r="AX66" s="140"/>
      <c r="AY66" s="140"/>
      <c r="AZ66" s="140"/>
      <c r="BA66" s="140"/>
      <c r="BB66" s="140"/>
      <c r="BC66" s="140"/>
      <c r="BD66" s="140"/>
      <c r="BE66" s="140"/>
    </row>
    <row r="67" s="119" customFormat="1" ht="96" customHeight="1" outlineLevel="2" spans="1:57">
      <c r="A67" s="162">
        <f t="shared" si="21"/>
        <v>2</v>
      </c>
      <c r="B67" s="165" t="s">
        <v>76</v>
      </c>
      <c r="C67" s="166" t="s">
        <v>77</v>
      </c>
      <c r="D67" s="142" t="s">
        <v>63</v>
      </c>
      <c r="E67" s="143">
        <v>29.706</v>
      </c>
      <c r="F67" s="143">
        <f>$F$14</f>
        <v>145</v>
      </c>
      <c r="G67" s="143">
        <f>$G$14</f>
        <v>651</v>
      </c>
      <c r="H67" s="143">
        <f>$H$14</f>
        <v>113.55</v>
      </c>
      <c r="I67" s="17">
        <f t="shared" si="22"/>
        <v>90.955</v>
      </c>
      <c r="J67" s="18">
        <f t="shared" si="23"/>
        <v>1000.51</v>
      </c>
      <c r="K67" s="19">
        <f t="shared" si="24"/>
        <v>29721.15</v>
      </c>
      <c r="L67" s="135"/>
      <c r="M67" s="139">
        <v>1</v>
      </c>
      <c r="N67" s="139"/>
      <c r="O67" s="139"/>
      <c r="P67" s="37">
        <f t="shared" si="25"/>
        <v>909.55</v>
      </c>
      <c r="Q67" s="99">
        <f>$Q$14</f>
        <v>620</v>
      </c>
      <c r="R67" s="163">
        <f>$R$14</f>
        <v>0.05</v>
      </c>
      <c r="S67" s="99">
        <f>$S$14</f>
        <v>145</v>
      </c>
      <c r="T67" s="99">
        <f>$T$14</f>
        <v>111.75</v>
      </c>
      <c r="U67" s="99">
        <f>$U$14</f>
        <v>1.8</v>
      </c>
      <c r="V67" s="37">
        <f t="shared" si="26"/>
        <v>27019.0923</v>
      </c>
      <c r="W67" s="139"/>
      <c r="X67" s="139"/>
      <c r="Y67" s="139"/>
      <c r="Z67" s="139"/>
      <c r="AA67" s="139"/>
      <c r="AB67" s="139"/>
      <c r="AC67" s="139"/>
      <c r="AD67" s="139"/>
      <c r="AE67" s="139"/>
      <c r="AF67" s="140"/>
      <c r="AG67" s="140"/>
      <c r="AH67" s="140"/>
      <c r="AI67" s="140"/>
      <c r="AJ67" s="140"/>
      <c r="AK67" s="140"/>
      <c r="AL67" s="140"/>
      <c r="AM67" s="140"/>
      <c r="AN67" s="140"/>
      <c r="AO67" s="140"/>
      <c r="AP67" s="140"/>
      <c r="AQ67" s="140"/>
      <c r="AR67" s="140"/>
      <c r="AS67" s="140"/>
      <c r="AT67" s="140"/>
      <c r="AU67" s="140"/>
      <c r="AV67" s="140"/>
      <c r="AW67" s="140"/>
      <c r="AX67" s="140"/>
      <c r="AY67" s="140"/>
      <c r="AZ67" s="140"/>
      <c r="BA67" s="140"/>
      <c r="BB67" s="140"/>
      <c r="BC67" s="140"/>
      <c r="BD67" s="140"/>
      <c r="BE67" s="140"/>
    </row>
    <row r="68" s="119" customFormat="1" ht="96" customHeight="1" outlineLevel="2" spans="1:57">
      <c r="A68" s="162">
        <f t="shared" si="21"/>
        <v>3</v>
      </c>
      <c r="B68" s="165" t="s">
        <v>78</v>
      </c>
      <c r="C68" s="166" t="s">
        <v>79</v>
      </c>
      <c r="D68" s="142" t="s">
        <v>63</v>
      </c>
      <c r="E68" s="143">
        <v>13.642</v>
      </c>
      <c r="F68" s="143">
        <f>$F$15</f>
        <v>145</v>
      </c>
      <c r="G68" s="143">
        <f>$G$15</f>
        <v>813.75</v>
      </c>
      <c r="H68" s="143">
        <f>$H$15</f>
        <v>113.55</v>
      </c>
      <c r="I68" s="17">
        <f t="shared" si="22"/>
        <v>107.23</v>
      </c>
      <c r="J68" s="18">
        <f t="shared" si="23"/>
        <v>1179.53</v>
      </c>
      <c r="K68" s="19">
        <f t="shared" si="24"/>
        <v>16091.15</v>
      </c>
      <c r="L68" s="135"/>
      <c r="M68" s="139">
        <v>1</v>
      </c>
      <c r="N68" s="139"/>
      <c r="O68" s="139"/>
      <c r="P68" s="37">
        <f t="shared" si="25"/>
        <v>1072.3</v>
      </c>
      <c r="Q68" s="99">
        <f>$Q$15</f>
        <v>775</v>
      </c>
      <c r="R68" s="163">
        <f>$R$15</f>
        <v>0.05</v>
      </c>
      <c r="S68" s="99">
        <f>$S$15</f>
        <v>145</v>
      </c>
      <c r="T68" s="99">
        <f>$T$15</f>
        <v>111.75</v>
      </c>
      <c r="U68" s="99">
        <f>$U$15</f>
        <v>1.8</v>
      </c>
      <c r="V68" s="37">
        <f t="shared" si="26"/>
        <v>14628.3166</v>
      </c>
      <c r="W68" s="139"/>
      <c r="X68" s="139"/>
      <c r="Y68" s="139"/>
      <c r="Z68" s="139"/>
      <c r="AA68" s="139"/>
      <c r="AB68" s="139"/>
      <c r="AC68" s="139"/>
      <c r="AD68" s="139"/>
      <c r="AE68" s="139"/>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row>
    <row r="69" s="119" customFormat="1" ht="36" customHeight="1" outlineLevel="2" spans="1:57">
      <c r="A69" s="145">
        <f t="shared" si="21"/>
        <v>4</v>
      </c>
      <c r="B69" s="159" t="s">
        <v>129</v>
      </c>
      <c r="C69" s="160" t="s">
        <v>130</v>
      </c>
      <c r="D69" s="148" t="s">
        <v>63</v>
      </c>
      <c r="E69" s="149">
        <v>16.5</v>
      </c>
      <c r="F69" s="149">
        <f>S69*$S$1</f>
        <v>150</v>
      </c>
      <c r="G69" s="149">
        <f>Q69*(1+R69)*$Q$1</f>
        <v>337.84</v>
      </c>
      <c r="H69" s="149">
        <f>(T69+U69)*$T$1</f>
        <v>26.5</v>
      </c>
      <c r="I69" s="150">
        <f t="shared" si="22"/>
        <v>51.434</v>
      </c>
      <c r="J69" s="151">
        <f t="shared" si="23"/>
        <v>565.77</v>
      </c>
      <c r="K69" s="152">
        <f t="shared" si="24"/>
        <v>9335.21</v>
      </c>
      <c r="L69" s="153"/>
      <c r="M69" s="139">
        <v>1</v>
      </c>
      <c r="N69" s="139"/>
      <c r="O69" s="139"/>
      <c r="P69" s="37">
        <f t="shared" si="25"/>
        <v>514.34</v>
      </c>
      <c r="Q69" s="71">
        <v>328</v>
      </c>
      <c r="R69" s="157">
        <v>0.03</v>
      </c>
      <c r="S69" s="71">
        <v>150</v>
      </c>
      <c r="T69" s="71">
        <v>25</v>
      </c>
      <c r="U69" s="71">
        <v>1.5</v>
      </c>
      <c r="V69" s="37">
        <f t="shared" si="26"/>
        <v>8486.61</v>
      </c>
      <c r="W69" s="139"/>
      <c r="X69" s="139"/>
      <c r="Y69" s="139"/>
      <c r="Z69" s="139"/>
      <c r="AA69" s="139"/>
      <c r="AB69" s="139"/>
      <c r="AC69" s="139"/>
      <c r="AD69" s="139"/>
      <c r="AE69" s="139"/>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row>
    <row r="70" s="119" customFormat="1" ht="48" customHeight="1" outlineLevel="2" spans="1:57">
      <c r="A70" s="145">
        <f t="shared" si="21"/>
        <v>5</v>
      </c>
      <c r="B70" s="159" t="s">
        <v>131</v>
      </c>
      <c r="C70" s="160" t="s">
        <v>132</v>
      </c>
      <c r="D70" s="148" t="s">
        <v>63</v>
      </c>
      <c r="E70" s="149">
        <f>0.18*0.565*4</f>
        <v>0.4068</v>
      </c>
      <c r="F70" s="149">
        <f>S70*$S$1</f>
        <v>110</v>
      </c>
      <c r="G70" s="149">
        <f>Q70*(1+R70)*$Q$1</f>
        <v>454.5</v>
      </c>
      <c r="H70" s="149">
        <f>(T70+U70)*$T$1</f>
        <v>55.2</v>
      </c>
      <c r="I70" s="150">
        <f t="shared" si="22"/>
        <v>61.97</v>
      </c>
      <c r="J70" s="151">
        <f t="shared" si="23"/>
        <v>681.67</v>
      </c>
      <c r="K70" s="152">
        <f t="shared" si="24"/>
        <v>277.3</v>
      </c>
      <c r="L70" s="153"/>
      <c r="M70" s="139">
        <v>1</v>
      </c>
      <c r="N70" s="139"/>
      <c r="O70" s="139"/>
      <c r="P70" s="37">
        <f t="shared" si="25"/>
        <v>619.7</v>
      </c>
      <c r="Q70" s="71">
        <v>450</v>
      </c>
      <c r="R70" s="157">
        <v>0.01</v>
      </c>
      <c r="S70" s="71">
        <v>110</v>
      </c>
      <c r="T70" s="71">
        <v>54</v>
      </c>
      <c r="U70" s="71">
        <v>1.2</v>
      </c>
      <c r="V70" s="37">
        <f t="shared" si="26"/>
        <v>252.09396</v>
      </c>
      <c r="W70" s="139"/>
      <c r="X70" s="139"/>
      <c r="Y70" s="139"/>
      <c r="Z70" s="139"/>
      <c r="AA70" s="139"/>
      <c r="AB70" s="139"/>
      <c r="AC70" s="139"/>
      <c r="AD70" s="139"/>
      <c r="AE70" s="139"/>
      <c r="AF70" s="140"/>
      <c r="AG70" s="140"/>
      <c r="AH70" s="140"/>
      <c r="AI70" s="140"/>
      <c r="AJ70" s="140"/>
      <c r="AK70" s="140"/>
      <c r="AL70" s="140"/>
      <c r="AM70" s="140"/>
      <c r="AN70" s="140"/>
      <c r="AO70" s="140"/>
      <c r="AP70" s="140"/>
      <c r="AQ70" s="140"/>
      <c r="AR70" s="140"/>
      <c r="AS70" s="140"/>
      <c r="AT70" s="140"/>
      <c r="AU70" s="140"/>
      <c r="AV70" s="140"/>
      <c r="AW70" s="140"/>
      <c r="AX70" s="140"/>
      <c r="AY70" s="140"/>
      <c r="AZ70" s="140"/>
      <c r="BA70" s="140"/>
      <c r="BB70" s="140"/>
      <c r="BC70" s="140"/>
      <c r="BD70" s="140"/>
      <c r="BE70" s="140"/>
    </row>
    <row r="71" s="119" customFormat="1" ht="48" customHeight="1" outlineLevel="2" spans="1:57">
      <c r="A71" s="162">
        <f t="shared" si="21"/>
        <v>6</v>
      </c>
      <c r="B71" s="165" t="s">
        <v>91</v>
      </c>
      <c r="C71" s="166" t="s">
        <v>92</v>
      </c>
      <c r="D71" s="165" t="s">
        <v>70</v>
      </c>
      <c r="E71" s="143">
        <v>16.2</v>
      </c>
      <c r="F71" s="143">
        <f>$F$22</f>
        <v>12</v>
      </c>
      <c r="G71" s="143">
        <f>$G$22</f>
        <v>25.75</v>
      </c>
      <c r="H71" s="143">
        <f>$H$22</f>
        <v>3.8</v>
      </c>
      <c r="I71" s="17">
        <f t="shared" si="22"/>
        <v>4.155</v>
      </c>
      <c r="J71" s="18">
        <f t="shared" si="23"/>
        <v>45.71</v>
      </c>
      <c r="K71" s="19">
        <f t="shared" si="24"/>
        <v>740.5</v>
      </c>
      <c r="L71" s="135"/>
      <c r="M71" s="139">
        <v>1</v>
      </c>
      <c r="N71" s="139"/>
      <c r="O71" s="139"/>
      <c r="P71" s="37">
        <f t="shared" si="25"/>
        <v>41.55</v>
      </c>
      <c r="Q71" s="99">
        <f>$Q$22</f>
        <v>25</v>
      </c>
      <c r="R71" s="163">
        <f>$R$22</f>
        <v>0.03</v>
      </c>
      <c r="S71" s="99">
        <f>$S$22</f>
        <v>12</v>
      </c>
      <c r="T71" s="99">
        <f>$T$22</f>
        <v>3.5</v>
      </c>
      <c r="U71" s="99">
        <f>$U$22</f>
        <v>0.3</v>
      </c>
      <c r="V71" s="37">
        <f t="shared" si="26"/>
        <v>673.11</v>
      </c>
      <c r="W71" s="139"/>
      <c r="X71" s="139"/>
      <c r="Y71" s="139"/>
      <c r="Z71" s="139"/>
      <c r="AA71" s="139"/>
      <c r="AB71" s="139"/>
      <c r="AC71" s="139"/>
      <c r="AD71" s="139"/>
      <c r="AE71" s="139"/>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row>
    <row r="72" s="119" customFormat="1" ht="48" customHeight="1" outlineLevel="2" spans="1:57">
      <c r="A72" s="162">
        <f t="shared" si="21"/>
        <v>7</v>
      </c>
      <c r="B72" s="165" t="s">
        <v>97</v>
      </c>
      <c r="C72" s="166" t="s">
        <v>98</v>
      </c>
      <c r="D72" s="165" t="s">
        <v>70</v>
      </c>
      <c r="E72" s="143">
        <v>16.2</v>
      </c>
      <c r="F72" s="143">
        <f>$F$25</f>
        <v>22</v>
      </c>
      <c r="G72" s="143">
        <f>$G$25</f>
        <v>58.195</v>
      </c>
      <c r="H72" s="143">
        <f>$H$25</f>
        <v>6.3</v>
      </c>
      <c r="I72" s="17">
        <f t="shared" si="22"/>
        <v>8.6495</v>
      </c>
      <c r="J72" s="18">
        <f t="shared" si="23"/>
        <v>95.14</v>
      </c>
      <c r="K72" s="19">
        <f t="shared" si="24"/>
        <v>1541.27</v>
      </c>
      <c r="L72" s="135"/>
      <c r="M72" s="139">
        <v>1</v>
      </c>
      <c r="N72" s="139"/>
      <c r="O72" s="139"/>
      <c r="P72" s="37">
        <f t="shared" si="25"/>
        <v>86.495</v>
      </c>
      <c r="Q72" s="99">
        <f>$Q$25</f>
        <v>56.5</v>
      </c>
      <c r="R72" s="163">
        <f>$R$25</f>
        <v>0.03</v>
      </c>
      <c r="S72" s="99">
        <f>$S$25</f>
        <v>22</v>
      </c>
      <c r="T72" s="99">
        <f>$T$25</f>
        <v>6</v>
      </c>
      <c r="U72" s="99">
        <f>$U$25</f>
        <v>0.3</v>
      </c>
      <c r="V72" s="37">
        <f t="shared" si="26"/>
        <v>1401.219</v>
      </c>
      <c r="W72" s="139"/>
      <c r="X72" s="139"/>
      <c r="Y72" s="139"/>
      <c r="Z72" s="139"/>
      <c r="AA72" s="139"/>
      <c r="AB72" s="139"/>
      <c r="AC72" s="139"/>
      <c r="AD72" s="139"/>
      <c r="AE72" s="139"/>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row>
    <row r="73" s="119" customFormat="1" ht="48" customHeight="1" outlineLevel="2" spans="1:57">
      <c r="A73" s="162">
        <f t="shared" si="21"/>
        <v>8</v>
      </c>
      <c r="B73" s="165" t="s">
        <v>99</v>
      </c>
      <c r="C73" s="166" t="s">
        <v>100</v>
      </c>
      <c r="D73" s="165" t="s">
        <v>70</v>
      </c>
      <c r="E73" s="143">
        <v>16.2</v>
      </c>
      <c r="F73" s="143">
        <f>$F$26</f>
        <v>12</v>
      </c>
      <c r="G73" s="143">
        <f>$G$26</f>
        <v>23.4325</v>
      </c>
      <c r="H73" s="143">
        <f>$H$26</f>
        <v>3.8</v>
      </c>
      <c r="I73" s="17">
        <f t="shared" si="22"/>
        <v>3.92325</v>
      </c>
      <c r="J73" s="18">
        <f t="shared" si="23"/>
        <v>43.16</v>
      </c>
      <c r="K73" s="19">
        <f t="shared" si="24"/>
        <v>699.19</v>
      </c>
      <c r="L73" s="135"/>
      <c r="M73" s="139">
        <v>1</v>
      </c>
      <c r="N73" s="139"/>
      <c r="O73" s="139"/>
      <c r="P73" s="37">
        <f t="shared" si="25"/>
        <v>39.2325</v>
      </c>
      <c r="Q73" s="99">
        <f>$Q$26</f>
        <v>22.75</v>
      </c>
      <c r="R73" s="163">
        <f>$R$26</f>
        <v>0.03</v>
      </c>
      <c r="S73" s="99">
        <f>$S$26</f>
        <v>12</v>
      </c>
      <c r="T73" s="99">
        <f>$T$26</f>
        <v>3.5</v>
      </c>
      <c r="U73" s="99">
        <f>$U$26</f>
        <v>0.3</v>
      </c>
      <c r="V73" s="37">
        <f t="shared" si="26"/>
        <v>635.5665</v>
      </c>
      <c r="W73" s="139"/>
      <c r="X73" s="139"/>
      <c r="Y73" s="139"/>
      <c r="Z73" s="139"/>
      <c r="AA73" s="139"/>
      <c r="AB73" s="139"/>
      <c r="AC73" s="139"/>
      <c r="AD73" s="139"/>
      <c r="AE73" s="139"/>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row>
    <row r="74" s="119" customFormat="1" ht="24" customHeight="1" outlineLevel="1" spans="1:57">
      <c r="A74" s="141"/>
      <c r="B74" s="14" t="s">
        <v>101</v>
      </c>
      <c r="C74" s="15"/>
      <c r="D74" s="142"/>
      <c r="E74" s="143"/>
      <c r="F74" s="143"/>
      <c r="G74" s="143"/>
      <c r="H74" s="143"/>
      <c r="I74" s="143"/>
      <c r="J74" s="143"/>
      <c r="K74" s="144"/>
      <c r="L74" s="135"/>
      <c r="M74" s="139"/>
      <c r="N74" s="139"/>
      <c r="O74" s="139"/>
      <c r="P74" s="137"/>
      <c r="Q74" s="137"/>
      <c r="R74" s="138"/>
      <c r="S74" s="137"/>
      <c r="T74" s="137"/>
      <c r="U74" s="137"/>
      <c r="V74" s="137"/>
      <c r="W74" s="139"/>
      <c r="X74" s="139"/>
      <c r="Y74" s="139"/>
      <c r="Z74" s="139"/>
      <c r="AA74" s="139"/>
      <c r="AB74" s="139"/>
      <c r="AC74" s="139"/>
      <c r="AD74" s="139"/>
      <c r="AE74" s="139"/>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row>
    <row r="75" s="119" customFormat="1" ht="96" customHeight="1" outlineLevel="2" spans="1:57">
      <c r="A75" s="162">
        <f t="shared" ref="A75:A80" si="27">1+N(A74)</f>
        <v>1</v>
      </c>
      <c r="B75" s="14" t="s">
        <v>102</v>
      </c>
      <c r="C75" s="167" t="s">
        <v>103</v>
      </c>
      <c r="D75" s="142" t="s">
        <v>63</v>
      </c>
      <c r="E75" s="143">
        <f>28.2-4.4</f>
        <v>23.8</v>
      </c>
      <c r="F75" s="143">
        <f>$F$28</f>
        <v>70</v>
      </c>
      <c r="G75" s="143">
        <f>$G$28</f>
        <v>0</v>
      </c>
      <c r="H75" s="143">
        <f>$H$28</f>
        <v>66.711</v>
      </c>
      <c r="I75" s="17">
        <f t="shared" ref="I75:I80" si="28">(F75+G75+H75)*$I$3</f>
        <v>13.6711</v>
      </c>
      <c r="J75" s="18">
        <f t="shared" ref="J75:J80" si="29">ROUND(SUM(F75:I75),2)</f>
        <v>150.38</v>
      </c>
      <c r="K75" s="19">
        <f t="shared" ref="K75:K80" si="30">ROUND(J75*E75,2)</f>
        <v>3579.04</v>
      </c>
      <c r="L75" s="135"/>
      <c r="M75" s="139">
        <v>1</v>
      </c>
      <c r="N75" s="139"/>
      <c r="O75" s="139"/>
      <c r="P75" s="37">
        <f t="shared" ref="P75:P80" si="31">Q75+Q75*R75+S75+T75+U75</f>
        <v>136.711</v>
      </c>
      <c r="Q75" s="99">
        <f>$Q$28</f>
        <v>0</v>
      </c>
      <c r="R75" s="163">
        <f>$R$28</f>
        <v>0.01</v>
      </c>
      <c r="S75" s="99">
        <f>$S$28</f>
        <v>70</v>
      </c>
      <c r="T75" s="99">
        <f>$T$28</f>
        <v>64.711</v>
      </c>
      <c r="U75" s="99">
        <f>$U$28</f>
        <v>2</v>
      </c>
      <c r="V75" s="37">
        <f t="shared" ref="V75:V80" si="32">P75*E75</f>
        <v>3253.7218</v>
      </c>
      <c r="W75" s="139"/>
      <c r="X75" s="139"/>
      <c r="Y75" s="139"/>
      <c r="Z75" s="139"/>
      <c r="AA75" s="139"/>
      <c r="AB75" s="139"/>
      <c r="AC75" s="139"/>
      <c r="AD75" s="139"/>
      <c r="AE75" s="139"/>
      <c r="AF75" s="140"/>
      <c r="AG75" s="140"/>
      <c r="AH75" s="140"/>
      <c r="AI75" s="140"/>
      <c r="AJ75" s="140"/>
      <c r="AK75" s="140"/>
      <c r="AL75" s="140"/>
      <c r="AM75" s="140"/>
      <c r="AN75" s="140"/>
      <c r="AO75" s="140"/>
      <c r="AP75" s="140"/>
      <c r="AQ75" s="140"/>
      <c r="AR75" s="140"/>
      <c r="AS75" s="140"/>
      <c r="AT75" s="140"/>
      <c r="AU75" s="140"/>
      <c r="AV75" s="140"/>
      <c r="AW75" s="140"/>
      <c r="AX75" s="140"/>
      <c r="AY75" s="140"/>
      <c r="AZ75" s="140"/>
      <c r="BA75" s="140"/>
      <c r="BB75" s="140"/>
      <c r="BC75" s="140"/>
      <c r="BD75" s="140"/>
      <c r="BE75" s="140"/>
    </row>
    <row r="76" s="119" customFormat="1" ht="48" customHeight="1" outlineLevel="2" spans="1:57">
      <c r="A76" s="145">
        <f t="shared" si="27"/>
        <v>2</v>
      </c>
      <c r="B76" s="146" t="s">
        <v>133</v>
      </c>
      <c r="C76" s="161" t="s">
        <v>134</v>
      </c>
      <c r="D76" s="148" t="s">
        <v>63</v>
      </c>
      <c r="E76" s="149">
        <v>4.4</v>
      </c>
      <c r="F76" s="149">
        <f>S76*$S$1</f>
        <v>80</v>
      </c>
      <c r="G76" s="149">
        <f>Q76*(1+R76)*$Q$1</f>
        <v>232.3</v>
      </c>
      <c r="H76" s="149">
        <f>(T76+U76)*$T$1</f>
        <v>37.3</v>
      </c>
      <c r="I76" s="150">
        <f t="shared" si="28"/>
        <v>34.96</v>
      </c>
      <c r="J76" s="151">
        <f t="shared" si="29"/>
        <v>384.56</v>
      </c>
      <c r="K76" s="152">
        <f t="shared" si="30"/>
        <v>1692.06</v>
      </c>
      <c r="L76" s="153"/>
      <c r="M76" s="139">
        <v>1</v>
      </c>
      <c r="N76" s="139"/>
      <c r="O76" s="139"/>
      <c r="P76" s="37">
        <f t="shared" si="31"/>
        <v>349.6</v>
      </c>
      <c r="Q76" s="71">
        <v>230</v>
      </c>
      <c r="R76" s="157">
        <v>0.01</v>
      </c>
      <c r="S76" s="71">
        <v>80</v>
      </c>
      <c r="T76" s="71">
        <v>37</v>
      </c>
      <c r="U76" s="71">
        <v>0.3</v>
      </c>
      <c r="V76" s="37">
        <f t="shared" si="32"/>
        <v>1538.24</v>
      </c>
      <c r="W76" s="139"/>
      <c r="X76" s="139"/>
      <c r="Y76" s="139"/>
      <c r="Z76" s="139"/>
      <c r="AA76" s="139"/>
      <c r="AB76" s="139"/>
      <c r="AC76" s="139"/>
      <c r="AD76" s="139"/>
      <c r="AE76" s="139"/>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row>
    <row r="77" s="119" customFormat="1" ht="72" customHeight="1" outlineLevel="2" spans="1:57">
      <c r="A77" s="162">
        <f t="shared" si="27"/>
        <v>3</v>
      </c>
      <c r="B77" s="14" t="s">
        <v>104</v>
      </c>
      <c r="C77" s="167" t="s">
        <v>105</v>
      </c>
      <c r="D77" s="142" t="s">
        <v>70</v>
      </c>
      <c r="E77" s="143">
        <v>5.5</v>
      </c>
      <c r="F77" s="143">
        <f>$F$29</f>
        <v>50</v>
      </c>
      <c r="G77" s="143">
        <f>$G$29</f>
        <v>0</v>
      </c>
      <c r="H77" s="143">
        <f>$H$29</f>
        <v>22.0941</v>
      </c>
      <c r="I77" s="17">
        <f t="shared" si="28"/>
        <v>7.20941</v>
      </c>
      <c r="J77" s="18">
        <f t="shared" si="29"/>
        <v>79.3</v>
      </c>
      <c r="K77" s="19">
        <f t="shared" si="30"/>
        <v>436.15</v>
      </c>
      <c r="L77" s="135"/>
      <c r="M77" s="139">
        <v>1</v>
      </c>
      <c r="N77" s="139"/>
      <c r="O77" s="139"/>
      <c r="P77" s="37">
        <f t="shared" si="31"/>
        <v>72.0941</v>
      </c>
      <c r="Q77" s="99">
        <f>$Q$29</f>
        <v>0</v>
      </c>
      <c r="R77" s="163">
        <f>$R$29</f>
        <v>0.01</v>
      </c>
      <c r="S77" s="99">
        <f>$S$29</f>
        <v>50</v>
      </c>
      <c r="T77" s="99">
        <f>$T$29</f>
        <v>22.0941</v>
      </c>
      <c r="U77" s="99">
        <f>$U$29</f>
        <v>0</v>
      </c>
      <c r="V77" s="37">
        <f t="shared" si="32"/>
        <v>396.51755</v>
      </c>
      <c r="W77" s="139"/>
      <c r="X77" s="139"/>
      <c r="Y77" s="139"/>
      <c r="Z77" s="139"/>
      <c r="AA77" s="139"/>
      <c r="AB77" s="139"/>
      <c r="AC77" s="139"/>
      <c r="AD77" s="139"/>
      <c r="AE77" s="139"/>
      <c r="AF77" s="140"/>
      <c r="AG77" s="140"/>
      <c r="AH77" s="140"/>
      <c r="AI77" s="140"/>
      <c r="AJ77" s="140"/>
      <c r="AK77" s="140"/>
      <c r="AL77" s="140"/>
      <c r="AM77" s="140"/>
      <c r="AN77" s="140"/>
      <c r="AO77" s="140"/>
      <c r="AP77" s="140"/>
      <c r="AQ77" s="140"/>
      <c r="AR77" s="140"/>
      <c r="AS77" s="140"/>
      <c r="AT77" s="140"/>
      <c r="AU77" s="140"/>
      <c r="AV77" s="140"/>
      <c r="AW77" s="140"/>
      <c r="AX77" s="140"/>
      <c r="AY77" s="140"/>
      <c r="AZ77" s="140"/>
      <c r="BA77" s="140"/>
      <c r="BB77" s="140"/>
      <c r="BC77" s="140"/>
      <c r="BD77" s="140"/>
      <c r="BE77" s="140"/>
    </row>
    <row r="78" s="119" customFormat="1" ht="72" customHeight="1" outlineLevel="2" spans="1:57">
      <c r="A78" s="162">
        <f t="shared" si="27"/>
        <v>4</v>
      </c>
      <c r="B78" s="14" t="s">
        <v>106</v>
      </c>
      <c r="C78" s="15" t="s">
        <v>107</v>
      </c>
      <c r="D78" s="142" t="s">
        <v>70</v>
      </c>
      <c r="E78" s="143">
        <v>5.5</v>
      </c>
      <c r="F78" s="143">
        <f>$F$30</f>
        <v>18</v>
      </c>
      <c r="G78" s="143">
        <f>$G$30</f>
        <v>163.255</v>
      </c>
      <c r="H78" s="143">
        <f>$H$30</f>
        <v>3.8</v>
      </c>
      <c r="I78" s="17">
        <f t="shared" si="28"/>
        <v>18.5055</v>
      </c>
      <c r="J78" s="18">
        <f t="shared" si="29"/>
        <v>203.56</v>
      </c>
      <c r="K78" s="19">
        <f t="shared" si="30"/>
        <v>1119.58</v>
      </c>
      <c r="L78" s="135"/>
      <c r="M78" s="139">
        <v>1</v>
      </c>
      <c r="N78" s="139"/>
      <c r="O78" s="139"/>
      <c r="P78" s="37">
        <f t="shared" si="31"/>
        <v>185.055</v>
      </c>
      <c r="Q78" s="99">
        <f>$Q$30</f>
        <v>158.5</v>
      </c>
      <c r="R78" s="163">
        <f>$R$30</f>
        <v>0.03</v>
      </c>
      <c r="S78" s="99">
        <f>$S$30</f>
        <v>18</v>
      </c>
      <c r="T78" s="99">
        <f>$T$30</f>
        <v>3.5</v>
      </c>
      <c r="U78" s="99">
        <f>$U$30</f>
        <v>0.3</v>
      </c>
      <c r="V78" s="37">
        <f t="shared" si="32"/>
        <v>1017.8025</v>
      </c>
      <c r="W78" s="139"/>
      <c r="X78" s="139"/>
      <c r="Y78" s="139"/>
      <c r="Z78" s="139"/>
      <c r="AA78" s="139"/>
      <c r="AB78" s="139"/>
      <c r="AC78" s="139"/>
      <c r="AD78" s="139"/>
      <c r="AE78" s="139"/>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row>
    <row r="79" s="119" customFormat="1" ht="72" customHeight="1" outlineLevel="2" spans="1:57">
      <c r="A79" s="162">
        <f t="shared" si="27"/>
        <v>5</v>
      </c>
      <c r="B79" s="14" t="s">
        <v>108</v>
      </c>
      <c r="C79" s="15" t="s">
        <v>109</v>
      </c>
      <c r="D79" s="142" t="s">
        <v>70</v>
      </c>
      <c r="E79" s="143">
        <f>1.2*2*1</f>
        <v>2.4</v>
      </c>
      <c r="F79" s="143">
        <f>$F$31</f>
        <v>30</v>
      </c>
      <c r="G79" s="143">
        <f>$G$31</f>
        <v>65.6625</v>
      </c>
      <c r="H79" s="143">
        <f>$H$31</f>
        <v>2.7</v>
      </c>
      <c r="I79" s="17">
        <f t="shared" si="28"/>
        <v>9.83625</v>
      </c>
      <c r="J79" s="18">
        <f t="shared" si="29"/>
        <v>108.2</v>
      </c>
      <c r="K79" s="19">
        <f t="shared" si="30"/>
        <v>259.68</v>
      </c>
      <c r="L79" s="135"/>
      <c r="M79" s="139">
        <v>1</v>
      </c>
      <c r="N79" s="139"/>
      <c r="O79" s="139"/>
      <c r="P79" s="37">
        <f t="shared" si="31"/>
        <v>98.3625</v>
      </c>
      <c r="Q79" s="99">
        <f>$Q$31</f>
        <v>63.75</v>
      </c>
      <c r="R79" s="163">
        <f>$R$31</f>
        <v>0.03</v>
      </c>
      <c r="S79" s="99">
        <f>$S$31</f>
        <v>30</v>
      </c>
      <c r="T79" s="99">
        <f>$T$31</f>
        <v>2.5</v>
      </c>
      <c r="U79" s="99">
        <f>$U$31</f>
        <v>0.2</v>
      </c>
      <c r="V79" s="37">
        <f t="shared" si="32"/>
        <v>236.07</v>
      </c>
      <c r="W79" s="139"/>
      <c r="X79" s="139"/>
      <c r="Y79" s="139"/>
      <c r="Z79" s="139"/>
      <c r="AA79" s="139"/>
      <c r="AB79" s="139"/>
      <c r="AC79" s="139"/>
      <c r="AD79" s="139"/>
      <c r="AE79" s="139"/>
      <c r="AF79" s="140"/>
      <c r="AG79" s="140"/>
      <c r="AH79" s="140"/>
      <c r="AI79" s="140"/>
      <c r="AJ79" s="140"/>
      <c r="AK79" s="140"/>
      <c r="AL79" s="140"/>
      <c r="AM79" s="140"/>
      <c r="AN79" s="140"/>
      <c r="AO79" s="140"/>
      <c r="AP79" s="140"/>
      <c r="AQ79" s="140"/>
      <c r="AR79" s="140"/>
      <c r="AS79" s="140"/>
      <c r="AT79" s="140"/>
      <c r="AU79" s="140"/>
      <c r="AV79" s="140"/>
      <c r="AW79" s="140"/>
      <c r="AX79" s="140"/>
      <c r="AY79" s="140"/>
      <c r="AZ79" s="140"/>
      <c r="BA79" s="140"/>
      <c r="BB79" s="140"/>
      <c r="BC79" s="140"/>
      <c r="BD79" s="140"/>
      <c r="BE79" s="140"/>
    </row>
    <row r="80" s="119" customFormat="1" ht="72" customHeight="1" outlineLevel="2" spans="1:57">
      <c r="A80" s="162">
        <f t="shared" si="27"/>
        <v>6</v>
      </c>
      <c r="B80" s="14" t="s">
        <v>110</v>
      </c>
      <c r="C80" s="15" t="s">
        <v>111</v>
      </c>
      <c r="D80" s="142" t="s">
        <v>63</v>
      </c>
      <c r="E80" s="143">
        <f>23.8+4.4+5.5*0.3</f>
        <v>29.85</v>
      </c>
      <c r="F80" s="143">
        <f>$F$32</f>
        <v>45</v>
      </c>
      <c r="G80" s="143">
        <f>$G$32</f>
        <v>85.5</v>
      </c>
      <c r="H80" s="143">
        <f>$H$32</f>
        <v>7.3</v>
      </c>
      <c r="I80" s="17">
        <f t="shared" si="28"/>
        <v>13.78</v>
      </c>
      <c r="J80" s="18">
        <f t="shared" si="29"/>
        <v>151.58</v>
      </c>
      <c r="K80" s="19">
        <f t="shared" si="30"/>
        <v>4524.66</v>
      </c>
      <c r="L80" s="135"/>
      <c r="M80" s="139">
        <v>1</v>
      </c>
      <c r="N80" s="139"/>
      <c r="O80" s="139"/>
      <c r="P80" s="37">
        <f t="shared" si="31"/>
        <v>137.8</v>
      </c>
      <c r="Q80" s="99">
        <f>$Q$32</f>
        <v>85.5</v>
      </c>
      <c r="R80" s="163">
        <f>$R$32</f>
        <v>0</v>
      </c>
      <c r="S80" s="99">
        <f>$S$32</f>
        <v>45</v>
      </c>
      <c r="T80" s="99">
        <f>$T$32</f>
        <v>6.5</v>
      </c>
      <c r="U80" s="99">
        <f>$U$32</f>
        <v>0.8</v>
      </c>
      <c r="V80" s="37">
        <f t="shared" si="32"/>
        <v>4113.33</v>
      </c>
      <c r="W80" s="139"/>
      <c r="X80" s="139"/>
      <c r="Y80" s="139"/>
      <c r="Z80" s="139"/>
      <c r="AA80" s="139"/>
      <c r="AB80" s="139"/>
      <c r="AC80" s="139"/>
      <c r="AD80" s="139"/>
      <c r="AE80" s="139"/>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row>
    <row r="81" s="119" customFormat="1" ht="24" customHeight="1" outlineLevel="1" spans="1:57">
      <c r="A81" s="141"/>
      <c r="B81" s="14" t="s">
        <v>112</v>
      </c>
      <c r="C81" s="15"/>
      <c r="D81" s="142"/>
      <c r="E81" s="143"/>
      <c r="F81" s="143"/>
      <c r="G81" s="143"/>
      <c r="H81" s="143"/>
      <c r="I81" s="143"/>
      <c r="J81" s="143"/>
      <c r="K81" s="144"/>
      <c r="L81" s="135"/>
      <c r="M81" s="139"/>
      <c r="N81" s="139"/>
      <c r="O81" s="139"/>
      <c r="P81" s="137"/>
      <c r="Q81" s="137"/>
      <c r="R81" s="138"/>
      <c r="S81" s="137"/>
      <c r="T81" s="137"/>
      <c r="U81" s="137"/>
      <c r="V81" s="137"/>
      <c r="W81" s="139"/>
      <c r="X81" s="139"/>
      <c r="Y81" s="139"/>
      <c r="Z81" s="139"/>
      <c r="AA81" s="139"/>
      <c r="AB81" s="139"/>
      <c r="AC81" s="139"/>
      <c r="AD81" s="139"/>
      <c r="AE81" s="139"/>
      <c r="AF81" s="140"/>
      <c r="AG81" s="140"/>
      <c r="AH81" s="140"/>
      <c r="AI81" s="140"/>
      <c r="AJ81" s="140"/>
      <c r="AK81" s="140"/>
      <c r="AL81" s="140"/>
      <c r="AM81" s="140"/>
      <c r="AN81" s="140"/>
      <c r="AO81" s="140"/>
      <c r="AP81" s="140"/>
      <c r="AQ81" s="140"/>
      <c r="AR81" s="140"/>
      <c r="AS81" s="140"/>
      <c r="AT81" s="140"/>
      <c r="AU81" s="140"/>
      <c r="AV81" s="140"/>
      <c r="AW81" s="140"/>
      <c r="AX81" s="140"/>
      <c r="AY81" s="140"/>
      <c r="AZ81" s="140"/>
      <c r="BA81" s="140"/>
      <c r="BB81" s="140"/>
      <c r="BC81" s="140"/>
      <c r="BD81" s="140"/>
      <c r="BE81" s="140"/>
    </row>
    <row r="82" s="119" customFormat="1" ht="60" customHeight="1" outlineLevel="2" spans="1:57">
      <c r="A82" s="145">
        <f>1+N(A81)</f>
        <v>1</v>
      </c>
      <c r="B82" s="146" t="s">
        <v>135</v>
      </c>
      <c r="C82" s="160" t="s">
        <v>136</v>
      </c>
      <c r="D82" s="148" t="s">
        <v>63</v>
      </c>
      <c r="E82" s="149">
        <f>1.41*3</f>
        <v>4.23</v>
      </c>
      <c r="F82" s="149">
        <f>S82*$S$1</f>
        <v>200</v>
      </c>
      <c r="G82" s="149">
        <f>Q82*(1+R82)*$Q$1</f>
        <v>4300</v>
      </c>
      <c r="H82" s="149">
        <f>(T82+U82)*$T$1</f>
        <v>96.78</v>
      </c>
      <c r="I82" s="150">
        <f>(F82+G82+H82)*$I$3</f>
        <v>459.678</v>
      </c>
      <c r="J82" s="151">
        <f>ROUND(SUM(F82:I82),2)</f>
        <v>5056.46</v>
      </c>
      <c r="K82" s="152">
        <f>ROUND(J82*E82,2)</f>
        <v>21388.83</v>
      </c>
      <c r="L82" s="153"/>
      <c r="M82" s="139">
        <v>1</v>
      </c>
      <c r="N82" s="139"/>
      <c r="O82" s="139"/>
      <c r="P82" s="37">
        <f>Q82+Q82*R82+S82+T82+U82</f>
        <v>4596.78</v>
      </c>
      <c r="Q82" s="71">
        <v>4300</v>
      </c>
      <c r="R82" s="157">
        <v>0</v>
      </c>
      <c r="S82" s="71">
        <v>200</v>
      </c>
      <c r="T82" s="71">
        <v>80.65</v>
      </c>
      <c r="U82" s="71">
        <v>16.13</v>
      </c>
      <c r="V82" s="37">
        <f>P82*E82</f>
        <v>19444.3794</v>
      </c>
      <c r="W82" s="139"/>
      <c r="X82" s="139"/>
      <c r="Y82" s="139"/>
      <c r="Z82" s="139"/>
      <c r="AA82" s="139"/>
      <c r="AB82" s="139"/>
      <c r="AC82" s="139"/>
      <c r="AD82" s="139"/>
      <c r="AE82" s="139"/>
      <c r="AF82" s="140"/>
      <c r="AG82" s="140"/>
      <c r="AH82" s="140"/>
      <c r="AI82" s="140"/>
      <c r="AJ82" s="140"/>
      <c r="AK82" s="140"/>
      <c r="AL82" s="140"/>
      <c r="AM82" s="140"/>
      <c r="AN82" s="140"/>
      <c r="AO82" s="140"/>
      <c r="AP82" s="140"/>
      <c r="AQ82" s="140"/>
      <c r="AR82" s="140"/>
      <c r="AS82" s="140"/>
      <c r="AT82" s="140"/>
      <c r="AU82" s="140"/>
      <c r="AV82" s="140"/>
      <c r="AW82" s="140"/>
      <c r="AX82" s="140"/>
      <c r="AY82" s="140"/>
      <c r="AZ82" s="140"/>
      <c r="BA82" s="140"/>
      <c r="BB82" s="140"/>
      <c r="BC82" s="140"/>
      <c r="BD82" s="140"/>
      <c r="BE82" s="140"/>
    </row>
    <row r="83" s="119" customFormat="1" ht="48" customHeight="1" outlineLevel="2" spans="1:57">
      <c r="A83" s="145">
        <f>1+N(A82)</f>
        <v>2</v>
      </c>
      <c r="B83" s="146" t="s">
        <v>137</v>
      </c>
      <c r="C83" s="160" t="s">
        <v>138</v>
      </c>
      <c r="D83" s="148" t="s">
        <v>63</v>
      </c>
      <c r="E83" s="149">
        <f>3*0.8*3.2</f>
        <v>7.68</v>
      </c>
      <c r="F83" s="149">
        <f>S83*$S$1</f>
        <v>55</v>
      </c>
      <c r="G83" s="149">
        <f>Q83*(1+R83)*$Q$1</f>
        <v>2325</v>
      </c>
      <c r="H83" s="149">
        <f>(T83+U83)*$T$1</f>
        <v>16.5</v>
      </c>
      <c r="I83" s="150">
        <f>(F83+G83+H83)*$I$3</f>
        <v>239.65</v>
      </c>
      <c r="J83" s="151">
        <f>ROUND(SUM(F83:I83),2)</f>
        <v>2636.15</v>
      </c>
      <c r="K83" s="152">
        <f>ROUND(J83*E83,2)</f>
        <v>20245.63</v>
      </c>
      <c r="L83" s="153"/>
      <c r="M83" s="139">
        <v>1</v>
      </c>
      <c r="N83" s="139"/>
      <c r="O83" s="139"/>
      <c r="P83" s="37">
        <f>Q83+Q83*R83+S83+T83+U83</f>
        <v>2396.5</v>
      </c>
      <c r="Q83" s="71">
        <v>2325</v>
      </c>
      <c r="R83" s="157">
        <v>0</v>
      </c>
      <c r="S83" s="71">
        <v>55</v>
      </c>
      <c r="T83" s="71">
        <v>15</v>
      </c>
      <c r="U83" s="71">
        <v>1.5</v>
      </c>
      <c r="V83" s="37">
        <f>P83*E83</f>
        <v>18405.12</v>
      </c>
      <c r="W83" s="139"/>
      <c r="X83" s="139"/>
      <c r="Y83" s="139"/>
      <c r="Z83" s="139"/>
      <c r="AA83" s="139"/>
      <c r="AB83" s="139"/>
      <c r="AC83" s="139"/>
      <c r="AD83" s="139"/>
      <c r="AE83" s="139"/>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row>
    <row r="84" s="119" customFormat="1" ht="24" customHeight="1" outlineLevel="1" spans="1:57">
      <c r="A84" s="132" t="s">
        <v>139</v>
      </c>
      <c r="B84" s="8" t="s">
        <v>140</v>
      </c>
      <c r="C84" s="8"/>
      <c r="D84" s="133"/>
      <c r="E84" s="134"/>
      <c r="F84" s="134"/>
      <c r="G84" s="134"/>
      <c r="H84" s="134"/>
      <c r="I84" s="134"/>
      <c r="J84" s="134"/>
      <c r="K84" s="11"/>
      <c r="L84" s="135"/>
      <c r="M84" s="139"/>
      <c r="N84" s="139"/>
      <c r="O84" s="139" t="str">
        <f>_xlfn.DISPIMG("ID_248119BFBC6C45409BF72E1F8700A056",1)</f>
        <v>=DISPIMG("ID_248119BFBC6C45409BF72E1F8700A056",1)</v>
      </c>
      <c r="P84" s="137"/>
      <c r="Q84" s="137"/>
      <c r="R84" s="138"/>
      <c r="S84" s="137"/>
      <c r="T84" s="137"/>
      <c r="U84" s="137"/>
      <c r="V84" s="137"/>
      <c r="W84" s="139"/>
      <c r="X84" s="139"/>
      <c r="Y84" s="139"/>
      <c r="Z84" s="139"/>
      <c r="AA84" s="139"/>
      <c r="AB84" s="139"/>
      <c r="AC84" s="139"/>
      <c r="AD84" s="139"/>
      <c r="AE84" s="139"/>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row>
    <row r="85" s="119" customFormat="1" ht="24" customHeight="1" outlineLevel="1" spans="1:57">
      <c r="A85" s="141"/>
      <c r="B85" s="14" t="s">
        <v>60</v>
      </c>
      <c r="C85" s="15"/>
      <c r="D85" s="142"/>
      <c r="E85" s="143"/>
      <c r="F85" s="143"/>
      <c r="G85" s="143"/>
      <c r="H85" s="143"/>
      <c r="I85" s="143"/>
      <c r="J85" s="143"/>
      <c r="K85" s="144"/>
      <c r="L85" s="135"/>
      <c r="M85" s="139"/>
      <c r="N85" s="139"/>
      <c r="O85" s="139"/>
      <c r="P85" s="137"/>
      <c r="Q85" s="137"/>
      <c r="R85" s="138"/>
      <c r="S85" s="137"/>
      <c r="T85" s="137"/>
      <c r="U85" s="137"/>
      <c r="V85" s="137"/>
      <c r="W85" s="139"/>
      <c r="X85" s="139"/>
      <c r="Y85" s="139"/>
      <c r="Z85" s="139"/>
      <c r="AA85" s="139"/>
      <c r="AB85" s="139"/>
      <c r="AC85" s="139"/>
      <c r="AD85" s="139"/>
      <c r="AE85" s="139"/>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row>
    <row r="86" s="119" customFormat="1" ht="96" customHeight="1" outlineLevel="2" spans="1:57">
      <c r="A86" s="162">
        <f>1+N(A85)</f>
        <v>1</v>
      </c>
      <c r="B86" s="14" t="s">
        <v>61</v>
      </c>
      <c r="C86" s="15" t="s">
        <v>62</v>
      </c>
      <c r="D86" s="142" t="s">
        <v>63</v>
      </c>
      <c r="E86" s="143">
        <v>4.86</v>
      </c>
      <c r="F86" s="143">
        <f>$F$7</f>
        <v>130</v>
      </c>
      <c r="G86" s="143">
        <f>$G$7</f>
        <v>628.3</v>
      </c>
      <c r="H86" s="17">
        <f>$H$7</f>
        <v>47.7</v>
      </c>
      <c r="I86" s="17">
        <f>(F86+G86+H86)*$I$3</f>
        <v>80.6</v>
      </c>
      <c r="J86" s="18">
        <f>ROUND(SUM(F86:I86),2)</f>
        <v>886.6</v>
      </c>
      <c r="K86" s="19">
        <f>ROUND(J86*E86,2)</f>
        <v>4308.88</v>
      </c>
      <c r="L86" s="135"/>
      <c r="M86" s="139">
        <v>1</v>
      </c>
      <c r="N86" s="139"/>
      <c r="O86" s="139"/>
      <c r="P86" s="37">
        <f>Q86+Q86*R86+S86+T86+U86</f>
        <v>806</v>
      </c>
      <c r="Q86" s="99">
        <f>$Q$7</f>
        <v>610</v>
      </c>
      <c r="R86" s="163">
        <f>$R$7</f>
        <v>0.03</v>
      </c>
      <c r="S86" s="99">
        <f>$S$7</f>
        <v>130</v>
      </c>
      <c r="T86" s="99">
        <f>$T$7</f>
        <v>46.2</v>
      </c>
      <c r="U86" s="99">
        <f>$U$7</f>
        <v>1.5</v>
      </c>
      <c r="V86" s="37">
        <f>P86*E86</f>
        <v>3917.16</v>
      </c>
      <c r="W86" s="139"/>
      <c r="X86" s="139"/>
      <c r="Y86" s="139"/>
      <c r="Z86" s="139"/>
      <c r="AA86" s="139"/>
      <c r="AB86" s="139"/>
      <c r="AC86" s="139"/>
      <c r="AD86" s="139"/>
      <c r="AE86" s="139"/>
      <c r="AF86" s="140"/>
      <c r="AG86" s="140"/>
      <c r="AH86" s="140"/>
      <c r="AI86" s="140"/>
      <c r="AJ86" s="140"/>
      <c r="AK86" s="140"/>
      <c r="AL86" s="140"/>
      <c r="AM86" s="140"/>
      <c r="AN86" s="140"/>
      <c r="AO86" s="140"/>
      <c r="AP86" s="140"/>
      <c r="AQ86" s="140"/>
      <c r="AR86" s="140"/>
      <c r="AS86" s="140"/>
      <c r="AT86" s="140"/>
      <c r="AU86" s="140"/>
      <c r="AV86" s="140"/>
      <c r="AW86" s="140"/>
      <c r="AX86" s="140"/>
      <c r="AY86" s="140"/>
      <c r="AZ86" s="140"/>
      <c r="BA86" s="140"/>
      <c r="BB86" s="140"/>
      <c r="BC86" s="140"/>
      <c r="BD86" s="140"/>
      <c r="BE86" s="140"/>
    </row>
    <row r="87" s="119" customFormat="1" ht="108" customHeight="1" outlineLevel="2" spans="1:57">
      <c r="A87" s="162">
        <f>1+N(A86)</f>
        <v>2</v>
      </c>
      <c r="B87" s="14" t="s">
        <v>64</v>
      </c>
      <c r="C87" s="15" t="s">
        <v>65</v>
      </c>
      <c r="D87" s="142" t="s">
        <v>63</v>
      </c>
      <c r="E87" s="143">
        <v>11.36</v>
      </c>
      <c r="F87" s="143">
        <f>$F$8</f>
        <v>130</v>
      </c>
      <c r="G87" s="143">
        <f>$G$8</f>
        <v>854.9</v>
      </c>
      <c r="H87" s="143">
        <f>$H$8</f>
        <v>47.7</v>
      </c>
      <c r="I87" s="17">
        <f>(F87+G87+H87)*$I$3</f>
        <v>103.26</v>
      </c>
      <c r="J87" s="18">
        <f>ROUND(SUM(F87:I87),2)</f>
        <v>1135.86</v>
      </c>
      <c r="K87" s="19">
        <f>ROUND(J87*E87,2)</f>
        <v>12903.37</v>
      </c>
      <c r="L87" s="135"/>
      <c r="M87" s="139">
        <v>1</v>
      </c>
      <c r="N87" s="139"/>
      <c r="O87" s="139"/>
      <c r="P87" s="37">
        <f>Q87+Q87*R87+S87+T87+U87</f>
        <v>1032.6</v>
      </c>
      <c r="Q87" s="99">
        <f>$Q$8</f>
        <v>830</v>
      </c>
      <c r="R87" s="163">
        <f>$R$8</f>
        <v>0.03</v>
      </c>
      <c r="S87" s="99">
        <f>$S$8</f>
        <v>130</v>
      </c>
      <c r="T87" s="99">
        <f>$T$8</f>
        <v>46.2</v>
      </c>
      <c r="U87" s="99">
        <f>$U$8</f>
        <v>1.5</v>
      </c>
      <c r="V87" s="37">
        <f>P87*E87</f>
        <v>11730.336</v>
      </c>
      <c r="W87" s="139"/>
      <c r="X87" s="139"/>
      <c r="Y87" s="139"/>
      <c r="Z87" s="139"/>
      <c r="AA87" s="139"/>
      <c r="AB87" s="139"/>
      <c r="AC87" s="139"/>
      <c r="AD87" s="139"/>
      <c r="AE87" s="139"/>
      <c r="AF87" s="140"/>
      <c r="AG87" s="140"/>
      <c r="AH87" s="140"/>
      <c r="AI87" s="140"/>
      <c r="AJ87" s="140"/>
      <c r="AK87" s="140"/>
      <c r="AL87" s="140"/>
      <c r="AM87" s="140"/>
      <c r="AN87" s="140"/>
      <c r="AO87" s="140"/>
      <c r="AP87" s="140"/>
      <c r="AQ87" s="140"/>
      <c r="AR87" s="140"/>
      <c r="AS87" s="140"/>
      <c r="AT87" s="140"/>
      <c r="AU87" s="140"/>
      <c r="AV87" s="140"/>
      <c r="AW87" s="140"/>
      <c r="AX87" s="140"/>
      <c r="AY87" s="140"/>
      <c r="AZ87" s="140"/>
      <c r="BA87" s="140"/>
      <c r="BB87" s="140"/>
      <c r="BC87" s="140"/>
      <c r="BD87" s="140"/>
      <c r="BE87" s="140"/>
    </row>
    <row r="88" s="119" customFormat="1" ht="36" customHeight="1" outlineLevel="2" spans="1:57">
      <c r="A88" s="162">
        <f>1+N(A87)</f>
        <v>3</v>
      </c>
      <c r="B88" s="14" t="s">
        <v>68</v>
      </c>
      <c r="C88" s="15" t="s">
        <v>69</v>
      </c>
      <c r="D88" s="142" t="s">
        <v>70</v>
      </c>
      <c r="E88" s="143">
        <v>13.36</v>
      </c>
      <c r="F88" s="143">
        <f>$F$10</f>
        <v>12</v>
      </c>
      <c r="G88" s="143">
        <f>$G$10</f>
        <v>19.57</v>
      </c>
      <c r="H88" s="143">
        <f>$H$10</f>
        <v>0.5</v>
      </c>
      <c r="I88" s="17">
        <f>(F88+G88+H88)*$I$3</f>
        <v>3.207</v>
      </c>
      <c r="J88" s="18">
        <f>ROUND(SUM(F88:I88),2)</f>
        <v>35.28</v>
      </c>
      <c r="K88" s="19">
        <f>ROUND(J88*E88,2)</f>
        <v>471.34</v>
      </c>
      <c r="L88" s="135"/>
      <c r="M88" s="139">
        <v>1</v>
      </c>
      <c r="N88" s="139"/>
      <c r="O88" s="139"/>
      <c r="P88" s="37">
        <f>Q88+Q88*R88+S88+T88+U88</f>
        <v>32.07</v>
      </c>
      <c r="Q88" s="99">
        <f>$Q$10</f>
        <v>19</v>
      </c>
      <c r="R88" s="163">
        <f>$R$10</f>
        <v>0.03</v>
      </c>
      <c r="S88" s="99">
        <f>$S$10</f>
        <v>12</v>
      </c>
      <c r="T88" s="99">
        <f>$T$10</f>
        <v>0.3</v>
      </c>
      <c r="U88" s="99">
        <f>$U$10</f>
        <v>0.2</v>
      </c>
      <c r="V88" s="37">
        <f>P88*E88</f>
        <v>428.4552</v>
      </c>
      <c r="W88" s="139"/>
      <c r="X88" s="139"/>
      <c r="Y88" s="139"/>
      <c r="Z88" s="139"/>
      <c r="AA88" s="139"/>
      <c r="AB88" s="139"/>
      <c r="AC88" s="139"/>
      <c r="AD88" s="139"/>
      <c r="AE88" s="139"/>
      <c r="AF88" s="140"/>
      <c r="AG88" s="140"/>
      <c r="AH88" s="140"/>
      <c r="AI88" s="140"/>
      <c r="AJ88" s="140"/>
      <c r="AK88" s="140"/>
      <c r="AL88" s="140"/>
      <c r="AM88" s="140"/>
      <c r="AN88" s="140"/>
      <c r="AO88" s="140"/>
      <c r="AP88" s="140"/>
      <c r="AQ88" s="140"/>
      <c r="AR88" s="140"/>
      <c r="AS88" s="140"/>
      <c r="AT88" s="140"/>
      <c r="AU88" s="140"/>
      <c r="AV88" s="140"/>
      <c r="AW88" s="140"/>
      <c r="AX88" s="140"/>
      <c r="AY88" s="140"/>
      <c r="AZ88" s="140"/>
      <c r="BA88" s="140"/>
      <c r="BB88" s="140"/>
      <c r="BC88" s="140"/>
      <c r="BD88" s="140"/>
      <c r="BE88" s="140"/>
    </row>
    <row r="89" s="119" customFormat="1" ht="48" customHeight="1" outlineLevel="2" spans="1:57">
      <c r="A89" s="162">
        <f>1+N(A88)</f>
        <v>4</v>
      </c>
      <c r="B89" s="14" t="s">
        <v>71</v>
      </c>
      <c r="C89" s="15" t="s">
        <v>72</v>
      </c>
      <c r="D89" s="142" t="s">
        <v>63</v>
      </c>
      <c r="E89" s="143">
        <v>16.22</v>
      </c>
      <c r="F89" s="143">
        <f>$F$11</f>
        <v>40</v>
      </c>
      <c r="G89" s="143">
        <f>$G$11</f>
        <v>15</v>
      </c>
      <c r="H89" s="143">
        <f>$H$11</f>
        <v>0.8</v>
      </c>
      <c r="I89" s="17">
        <f>(F89+G89+H89)*$I$3</f>
        <v>5.58</v>
      </c>
      <c r="J89" s="18">
        <f>ROUND(SUM(F89:I89),2)</f>
        <v>61.38</v>
      </c>
      <c r="K89" s="19">
        <f>ROUND(J89*E89,2)</f>
        <v>995.58</v>
      </c>
      <c r="L89" s="135"/>
      <c r="M89" s="139">
        <v>1</v>
      </c>
      <c r="N89" s="139"/>
      <c r="O89" s="139"/>
      <c r="P89" s="37">
        <f>Q89+Q89*R89+S89+T89+U89</f>
        <v>55.8</v>
      </c>
      <c r="Q89" s="99">
        <f>$Q$11</f>
        <v>15</v>
      </c>
      <c r="R89" s="163">
        <f>$R$11</f>
        <v>0</v>
      </c>
      <c r="S89" s="99">
        <f>$S$11</f>
        <v>40</v>
      </c>
      <c r="T89" s="99">
        <f>$T$11</f>
        <v>0.5</v>
      </c>
      <c r="U89" s="99">
        <f>$U$11</f>
        <v>0.3</v>
      </c>
      <c r="V89" s="37">
        <f>P89*E89</f>
        <v>905.076</v>
      </c>
      <c r="W89" s="139"/>
      <c r="X89" s="139"/>
      <c r="Y89" s="139"/>
      <c r="Z89" s="139"/>
      <c r="AA89" s="139"/>
      <c r="AB89" s="139"/>
      <c r="AC89" s="139"/>
      <c r="AD89" s="139"/>
      <c r="AE89" s="139"/>
      <c r="AF89" s="140"/>
      <c r="AG89" s="140"/>
      <c r="AH89" s="140"/>
      <c r="AI89" s="140"/>
      <c r="AJ89" s="140"/>
      <c r="AK89" s="140"/>
      <c r="AL89" s="140"/>
      <c r="AM89" s="140"/>
      <c r="AN89" s="140"/>
      <c r="AO89" s="140"/>
      <c r="AP89" s="140"/>
      <c r="AQ89" s="140"/>
      <c r="AR89" s="140"/>
      <c r="AS89" s="140"/>
      <c r="AT89" s="140"/>
      <c r="AU89" s="140"/>
      <c r="AV89" s="140"/>
      <c r="AW89" s="140"/>
      <c r="AX89" s="140"/>
      <c r="AY89" s="140"/>
      <c r="AZ89" s="140"/>
      <c r="BA89" s="140"/>
      <c r="BB89" s="140"/>
      <c r="BC89" s="140"/>
      <c r="BD89" s="140"/>
      <c r="BE89" s="140"/>
    </row>
    <row r="90" s="119" customFormat="1" ht="24" customHeight="1" outlineLevel="1" spans="1:57">
      <c r="A90" s="141"/>
      <c r="B90" s="14" t="s">
        <v>73</v>
      </c>
      <c r="C90" s="15"/>
      <c r="D90" s="142"/>
      <c r="E90" s="143"/>
      <c r="F90" s="143"/>
      <c r="G90" s="143"/>
      <c r="H90" s="143"/>
      <c r="I90" s="143"/>
      <c r="J90" s="143"/>
      <c r="K90" s="144"/>
      <c r="L90" s="135"/>
      <c r="M90" s="139"/>
      <c r="N90" s="139"/>
      <c r="O90" s="139"/>
      <c r="P90" s="137"/>
      <c r="Q90" s="137"/>
      <c r="R90" s="138"/>
      <c r="S90" s="137"/>
      <c r="T90" s="137"/>
      <c r="U90" s="137"/>
      <c r="V90" s="137"/>
      <c r="W90" s="139"/>
      <c r="X90" s="139"/>
      <c r="Y90" s="139"/>
      <c r="Z90" s="139"/>
      <c r="AA90" s="139"/>
      <c r="AB90" s="139"/>
      <c r="AC90" s="139"/>
      <c r="AD90" s="139"/>
      <c r="AE90" s="139"/>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row>
    <row r="91" s="119" customFormat="1" ht="72" customHeight="1" outlineLevel="2" spans="1:57">
      <c r="A91" s="162">
        <f t="shared" ref="A91:A99" si="33">1+N(A90)</f>
        <v>1</v>
      </c>
      <c r="B91" s="164" t="s">
        <v>74</v>
      </c>
      <c r="C91" s="15" t="s">
        <v>75</v>
      </c>
      <c r="D91" s="142" t="s">
        <v>63</v>
      </c>
      <c r="E91" s="143">
        <v>4.772</v>
      </c>
      <c r="F91" s="143">
        <f>$F$13</f>
        <v>95</v>
      </c>
      <c r="G91" s="143">
        <f>$G$13</f>
        <v>813.75</v>
      </c>
      <c r="H91" s="143">
        <f>$H$13</f>
        <v>18.3</v>
      </c>
      <c r="I91" s="17">
        <f t="shared" ref="I91:I99" si="34">(F91+G91+H91)*$I$3</f>
        <v>92.705</v>
      </c>
      <c r="J91" s="18">
        <f t="shared" ref="J91:J99" si="35">ROUND(SUM(F91:I91),2)</f>
        <v>1019.76</v>
      </c>
      <c r="K91" s="19">
        <f t="shared" ref="K91:K99" si="36">ROUND(J91*E91,2)</f>
        <v>4866.29</v>
      </c>
      <c r="L91" s="135"/>
      <c r="M91" s="139">
        <v>1</v>
      </c>
      <c r="N91" s="139"/>
      <c r="O91" s="139"/>
      <c r="P91" s="37">
        <f t="shared" ref="P91:P99" si="37">Q91+Q91*R91+S91+T91+U91</f>
        <v>927.05</v>
      </c>
      <c r="Q91" s="99">
        <f>$Q$13</f>
        <v>775</v>
      </c>
      <c r="R91" s="163">
        <f>$R$13</f>
        <v>0.05</v>
      </c>
      <c r="S91" s="99">
        <f>$S$13</f>
        <v>95</v>
      </c>
      <c r="T91" s="99">
        <f>$T$13</f>
        <v>16.8</v>
      </c>
      <c r="U91" s="99">
        <f>$U$13</f>
        <v>1.5</v>
      </c>
      <c r="V91" s="37">
        <f t="shared" ref="V91:V99" si="38">P91*E91</f>
        <v>4423.8826</v>
      </c>
      <c r="W91" s="139"/>
      <c r="X91" s="139"/>
      <c r="Y91" s="139"/>
      <c r="Z91" s="139"/>
      <c r="AA91" s="139"/>
      <c r="AB91" s="139"/>
      <c r="AC91" s="139"/>
      <c r="AD91" s="139"/>
      <c r="AE91" s="139"/>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140"/>
      <c r="BC91" s="140"/>
      <c r="BD91" s="140"/>
      <c r="BE91" s="140"/>
    </row>
    <row r="92" s="119" customFormat="1" ht="96" customHeight="1" outlineLevel="2" spans="1:57">
      <c r="A92" s="162">
        <f t="shared" si="33"/>
        <v>2</v>
      </c>
      <c r="B92" s="165" t="s">
        <v>76</v>
      </c>
      <c r="C92" s="166" t="s">
        <v>77</v>
      </c>
      <c r="D92" s="142" t="s">
        <v>63</v>
      </c>
      <c r="E92" s="143">
        <f>24.446+0.727</f>
        <v>25.173</v>
      </c>
      <c r="F92" s="143">
        <f>$F$14</f>
        <v>145</v>
      </c>
      <c r="G92" s="143">
        <f>$G$14</f>
        <v>651</v>
      </c>
      <c r="H92" s="143">
        <f>$H$14</f>
        <v>113.55</v>
      </c>
      <c r="I92" s="17">
        <f t="shared" si="34"/>
        <v>90.955</v>
      </c>
      <c r="J92" s="18">
        <f t="shared" si="35"/>
        <v>1000.51</v>
      </c>
      <c r="K92" s="19">
        <f t="shared" si="36"/>
        <v>25185.84</v>
      </c>
      <c r="L92" s="135"/>
      <c r="M92" s="139">
        <v>1</v>
      </c>
      <c r="N92" s="139"/>
      <c r="O92" s="139"/>
      <c r="P92" s="37">
        <f t="shared" si="37"/>
        <v>909.55</v>
      </c>
      <c r="Q92" s="99">
        <f>$Q$14</f>
        <v>620</v>
      </c>
      <c r="R92" s="163">
        <f>$R$14</f>
        <v>0.05</v>
      </c>
      <c r="S92" s="99">
        <f>$S$14</f>
        <v>145</v>
      </c>
      <c r="T92" s="99">
        <f>$T$14</f>
        <v>111.75</v>
      </c>
      <c r="U92" s="99">
        <f>$U$14</f>
        <v>1.8</v>
      </c>
      <c r="V92" s="37">
        <f t="shared" si="38"/>
        <v>22896.10215</v>
      </c>
      <c r="W92" s="139"/>
      <c r="X92" s="139"/>
      <c r="Y92" s="139"/>
      <c r="Z92" s="139"/>
      <c r="AA92" s="139"/>
      <c r="AB92" s="139"/>
      <c r="AC92" s="139"/>
      <c r="AD92" s="139"/>
      <c r="AE92" s="139"/>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c r="BD92" s="140"/>
      <c r="BE92" s="140"/>
    </row>
    <row r="93" s="119" customFormat="1" ht="48" customHeight="1" outlineLevel="2" spans="1:57">
      <c r="A93" s="162">
        <f t="shared" si="33"/>
        <v>3</v>
      </c>
      <c r="B93" s="165" t="s">
        <v>84</v>
      </c>
      <c r="C93" s="166" t="s">
        <v>83</v>
      </c>
      <c r="D93" s="165" t="s">
        <v>63</v>
      </c>
      <c r="E93" s="143">
        <f>0.296*3*2*2</f>
        <v>3.552</v>
      </c>
      <c r="F93" s="143">
        <f>$F$18</f>
        <v>110</v>
      </c>
      <c r="G93" s="143">
        <f>$G$18</f>
        <v>454.5</v>
      </c>
      <c r="H93" s="143">
        <f>$H$18</f>
        <v>55.2</v>
      </c>
      <c r="I93" s="17">
        <f t="shared" si="34"/>
        <v>61.97</v>
      </c>
      <c r="J93" s="18">
        <f t="shared" si="35"/>
        <v>681.67</v>
      </c>
      <c r="K93" s="19">
        <f t="shared" si="36"/>
        <v>2421.29</v>
      </c>
      <c r="L93" s="135"/>
      <c r="M93" s="139">
        <v>1</v>
      </c>
      <c r="N93" s="139"/>
      <c r="O93" s="139"/>
      <c r="P93" s="37">
        <f t="shared" si="37"/>
        <v>619.7</v>
      </c>
      <c r="Q93" s="99">
        <f>$Q$18</f>
        <v>450</v>
      </c>
      <c r="R93" s="163">
        <f>$R$18</f>
        <v>0.01</v>
      </c>
      <c r="S93" s="99">
        <f>$S$18</f>
        <v>110</v>
      </c>
      <c r="T93" s="99">
        <f>$T$18</f>
        <v>54</v>
      </c>
      <c r="U93" s="99">
        <f>$U$18</f>
        <v>1.2</v>
      </c>
      <c r="V93" s="37">
        <f t="shared" si="38"/>
        <v>2201.1744</v>
      </c>
      <c r="W93" s="139"/>
      <c r="X93" s="139"/>
      <c r="Y93" s="139"/>
      <c r="Z93" s="139"/>
      <c r="AA93" s="139"/>
      <c r="AB93" s="139"/>
      <c r="AC93" s="139"/>
      <c r="AD93" s="139"/>
      <c r="AE93" s="139"/>
      <c r="AF93" s="140"/>
      <c r="AG93" s="140"/>
      <c r="AH93" s="140"/>
      <c r="AI93" s="140"/>
      <c r="AJ93" s="140"/>
      <c r="AK93" s="140"/>
      <c r="AL93" s="140"/>
      <c r="AM93" s="140"/>
      <c r="AN93" s="140"/>
      <c r="AO93" s="140"/>
      <c r="AP93" s="140"/>
      <c r="AQ93" s="140"/>
      <c r="AR93" s="140"/>
      <c r="AS93" s="140"/>
      <c r="AT93" s="140"/>
      <c r="AU93" s="140"/>
      <c r="AV93" s="140"/>
      <c r="AW93" s="140"/>
      <c r="AX93" s="140"/>
      <c r="AY93" s="140"/>
      <c r="AZ93" s="140"/>
      <c r="BA93" s="140"/>
      <c r="BB93" s="140"/>
      <c r="BC93" s="140"/>
      <c r="BD93" s="140"/>
      <c r="BE93" s="140"/>
    </row>
    <row r="94" s="119" customFormat="1" ht="60" customHeight="1" outlineLevel="2" spans="1:57">
      <c r="A94" s="162">
        <f t="shared" si="33"/>
        <v>4</v>
      </c>
      <c r="B94" s="165" t="s">
        <v>85</v>
      </c>
      <c r="C94" s="166" t="s">
        <v>86</v>
      </c>
      <c r="D94" s="165" t="s">
        <v>63</v>
      </c>
      <c r="E94" s="143">
        <f>+(0.061+0.72+0.114+0.074)*0.95*2</f>
        <v>1.8411</v>
      </c>
      <c r="F94" s="143">
        <f>$F$19</f>
        <v>110</v>
      </c>
      <c r="G94" s="143">
        <f>$G$19</f>
        <v>454.5</v>
      </c>
      <c r="H94" s="143">
        <f>$H$19</f>
        <v>55.2</v>
      </c>
      <c r="I94" s="17">
        <f t="shared" si="34"/>
        <v>61.97</v>
      </c>
      <c r="J94" s="18">
        <f t="shared" si="35"/>
        <v>681.67</v>
      </c>
      <c r="K94" s="19">
        <f t="shared" si="36"/>
        <v>1255.02</v>
      </c>
      <c r="L94" s="135"/>
      <c r="M94" s="139">
        <v>1</v>
      </c>
      <c r="N94" s="139"/>
      <c r="O94" s="139"/>
      <c r="P94" s="37">
        <f t="shared" si="37"/>
        <v>619.7</v>
      </c>
      <c r="Q94" s="99">
        <f>$Q$19</f>
        <v>450</v>
      </c>
      <c r="R94" s="163">
        <f>$R$19</f>
        <v>0.01</v>
      </c>
      <c r="S94" s="99">
        <f>$S$19</f>
        <v>110</v>
      </c>
      <c r="T94" s="99">
        <f>$T$19</f>
        <v>54</v>
      </c>
      <c r="U94" s="99">
        <f>$U$19</f>
        <v>1.2</v>
      </c>
      <c r="V94" s="37">
        <f t="shared" si="38"/>
        <v>1140.92967</v>
      </c>
      <c r="W94" s="139"/>
      <c r="X94" s="139"/>
      <c r="Y94" s="139"/>
      <c r="Z94" s="139"/>
      <c r="AA94" s="139"/>
      <c r="AB94" s="139"/>
      <c r="AC94" s="139"/>
      <c r="AD94" s="139"/>
      <c r="AE94" s="139"/>
      <c r="AF94" s="140"/>
      <c r="AG94" s="140"/>
      <c r="AH94" s="140"/>
      <c r="AI94" s="140"/>
      <c r="AJ94" s="140"/>
      <c r="AK94" s="140"/>
      <c r="AL94" s="140"/>
      <c r="AM94" s="140"/>
      <c r="AN94" s="140"/>
      <c r="AO94" s="140"/>
      <c r="AP94" s="140"/>
      <c r="AQ94" s="140"/>
      <c r="AR94" s="140"/>
      <c r="AS94" s="140"/>
      <c r="AT94" s="140"/>
      <c r="AU94" s="140"/>
      <c r="AV94" s="140"/>
      <c r="AW94" s="140"/>
      <c r="AX94" s="140"/>
      <c r="AY94" s="140"/>
      <c r="AZ94" s="140"/>
      <c r="BA94" s="140"/>
      <c r="BB94" s="140"/>
      <c r="BC94" s="140"/>
      <c r="BD94" s="140"/>
      <c r="BE94" s="140"/>
    </row>
    <row r="95" s="119" customFormat="1" ht="48" customHeight="1" outlineLevel="2" spans="1:57">
      <c r="A95" s="162">
        <f t="shared" si="33"/>
        <v>5</v>
      </c>
      <c r="B95" s="165" t="s">
        <v>87</v>
      </c>
      <c r="C95" s="166" t="s">
        <v>88</v>
      </c>
      <c r="D95" s="165" t="s">
        <v>63</v>
      </c>
      <c r="E95" s="143">
        <v>0.252</v>
      </c>
      <c r="F95" s="143">
        <f>$F$20</f>
        <v>110</v>
      </c>
      <c r="G95" s="143">
        <f>$G$20</f>
        <v>454.5</v>
      </c>
      <c r="H95" s="143">
        <f>$H$20</f>
        <v>55.2</v>
      </c>
      <c r="I95" s="17">
        <f t="shared" si="34"/>
        <v>61.97</v>
      </c>
      <c r="J95" s="18">
        <f t="shared" si="35"/>
        <v>681.67</v>
      </c>
      <c r="K95" s="19">
        <f t="shared" si="36"/>
        <v>171.78</v>
      </c>
      <c r="L95" s="135"/>
      <c r="M95" s="139">
        <v>1</v>
      </c>
      <c r="N95" s="139"/>
      <c r="O95" s="139"/>
      <c r="P95" s="37">
        <f t="shared" si="37"/>
        <v>619.7</v>
      </c>
      <c r="Q95" s="99">
        <f>$Q$20</f>
        <v>450</v>
      </c>
      <c r="R95" s="163">
        <f>$R$20</f>
        <v>0.01</v>
      </c>
      <c r="S95" s="99">
        <f>$S$20</f>
        <v>110</v>
      </c>
      <c r="T95" s="99">
        <f>$T$20</f>
        <v>54</v>
      </c>
      <c r="U95" s="99">
        <f>$U$20</f>
        <v>1.2</v>
      </c>
      <c r="V95" s="37">
        <f t="shared" si="38"/>
        <v>156.1644</v>
      </c>
      <c r="W95" s="139"/>
      <c r="X95" s="139"/>
      <c r="Y95" s="139"/>
      <c r="Z95" s="139"/>
      <c r="AA95" s="139"/>
      <c r="AB95" s="139"/>
      <c r="AC95" s="139"/>
      <c r="AD95" s="139"/>
      <c r="AE95" s="139"/>
      <c r="AF95" s="140"/>
      <c r="AG95" s="140"/>
      <c r="AH95" s="140"/>
      <c r="AI95" s="140"/>
      <c r="AJ95" s="140"/>
      <c r="AK95" s="140"/>
      <c r="AL95" s="140"/>
      <c r="AM95" s="140"/>
      <c r="AN95" s="140"/>
      <c r="AO95" s="140"/>
      <c r="AP95" s="140"/>
      <c r="AQ95" s="140"/>
      <c r="AR95" s="140"/>
      <c r="AS95" s="140"/>
      <c r="AT95" s="140"/>
      <c r="AU95" s="140"/>
      <c r="AV95" s="140"/>
      <c r="AW95" s="140"/>
      <c r="AX95" s="140"/>
      <c r="AY95" s="140"/>
      <c r="AZ95" s="140"/>
      <c r="BA95" s="140"/>
      <c r="BB95" s="140"/>
      <c r="BC95" s="140"/>
      <c r="BD95" s="140"/>
      <c r="BE95" s="140"/>
    </row>
    <row r="96" s="119" customFormat="1" ht="48" customHeight="1" outlineLevel="2" spans="1:57">
      <c r="A96" s="162">
        <f t="shared" si="33"/>
        <v>6</v>
      </c>
      <c r="B96" s="165" t="s">
        <v>91</v>
      </c>
      <c r="C96" s="166" t="s">
        <v>92</v>
      </c>
      <c r="D96" s="165" t="s">
        <v>70</v>
      </c>
      <c r="E96" s="143">
        <v>10.298</v>
      </c>
      <c r="F96" s="143">
        <f>$F$22</f>
        <v>12</v>
      </c>
      <c r="G96" s="143">
        <f>$G$22</f>
        <v>25.75</v>
      </c>
      <c r="H96" s="143">
        <f>$H$22</f>
        <v>3.8</v>
      </c>
      <c r="I96" s="17">
        <f t="shared" si="34"/>
        <v>4.155</v>
      </c>
      <c r="J96" s="18">
        <f t="shared" si="35"/>
        <v>45.71</v>
      </c>
      <c r="K96" s="19">
        <f t="shared" si="36"/>
        <v>470.72</v>
      </c>
      <c r="L96" s="135"/>
      <c r="M96" s="139">
        <v>1</v>
      </c>
      <c r="N96" s="139"/>
      <c r="O96" s="139"/>
      <c r="P96" s="37">
        <f t="shared" si="37"/>
        <v>41.55</v>
      </c>
      <c r="Q96" s="99">
        <f>$Q$22</f>
        <v>25</v>
      </c>
      <c r="R96" s="163">
        <f>$R$22</f>
        <v>0.03</v>
      </c>
      <c r="S96" s="99">
        <f>$S$22</f>
        <v>12</v>
      </c>
      <c r="T96" s="99">
        <f>$T$22</f>
        <v>3.5</v>
      </c>
      <c r="U96" s="99">
        <f>$U$22</f>
        <v>0.3</v>
      </c>
      <c r="V96" s="37">
        <f t="shared" si="38"/>
        <v>427.8819</v>
      </c>
      <c r="W96" s="139"/>
      <c r="X96" s="139"/>
      <c r="Y96" s="139"/>
      <c r="Z96" s="139"/>
      <c r="AA96" s="139"/>
      <c r="AB96" s="139"/>
      <c r="AC96" s="139"/>
      <c r="AD96" s="139"/>
      <c r="AE96" s="139"/>
      <c r="AF96" s="140"/>
      <c r="AG96" s="140"/>
      <c r="AH96" s="140"/>
      <c r="AI96" s="140"/>
      <c r="AJ96" s="140"/>
      <c r="AK96" s="140"/>
      <c r="AL96" s="140"/>
      <c r="AM96" s="140"/>
      <c r="AN96" s="140"/>
      <c r="AO96" s="140"/>
      <c r="AP96" s="140"/>
      <c r="AQ96" s="140"/>
      <c r="AR96" s="140"/>
      <c r="AS96" s="140"/>
      <c r="AT96" s="140"/>
      <c r="AU96" s="140"/>
      <c r="AV96" s="140"/>
      <c r="AW96" s="140"/>
      <c r="AX96" s="140"/>
      <c r="AY96" s="140"/>
      <c r="AZ96" s="140"/>
      <c r="BA96" s="140"/>
      <c r="BB96" s="140"/>
      <c r="BC96" s="140"/>
      <c r="BD96" s="140"/>
      <c r="BE96" s="140"/>
    </row>
    <row r="97" s="119" customFormat="1" ht="36" customHeight="1" outlineLevel="2" spans="1:57">
      <c r="A97" s="162">
        <f t="shared" si="33"/>
        <v>7</v>
      </c>
      <c r="B97" s="165" t="s">
        <v>93</v>
      </c>
      <c r="C97" s="166" t="s">
        <v>94</v>
      </c>
      <c r="D97" s="165" t="s">
        <v>70</v>
      </c>
      <c r="E97" s="143">
        <f>0.17*2</f>
        <v>0.34</v>
      </c>
      <c r="F97" s="143">
        <f>$F$23</f>
        <v>12</v>
      </c>
      <c r="G97" s="143">
        <f>$G$23</f>
        <v>30.385</v>
      </c>
      <c r="H97" s="143">
        <f>$H$23</f>
        <v>3.8</v>
      </c>
      <c r="I97" s="17">
        <f t="shared" si="34"/>
        <v>4.6185</v>
      </c>
      <c r="J97" s="18">
        <f t="shared" si="35"/>
        <v>50.8</v>
      </c>
      <c r="K97" s="19">
        <f t="shared" si="36"/>
        <v>17.27</v>
      </c>
      <c r="L97" s="135"/>
      <c r="M97" s="139">
        <v>1</v>
      </c>
      <c r="N97" s="139"/>
      <c r="O97" s="139"/>
      <c r="P97" s="37">
        <f t="shared" si="37"/>
        <v>46.185</v>
      </c>
      <c r="Q97" s="99">
        <f>$Q$23</f>
        <v>29.5</v>
      </c>
      <c r="R97" s="163">
        <f>$R$23</f>
        <v>0.03</v>
      </c>
      <c r="S97" s="99">
        <f>$S$23</f>
        <v>12</v>
      </c>
      <c r="T97" s="99">
        <f>$T$23</f>
        <v>3.5</v>
      </c>
      <c r="U97" s="99">
        <f>$U$23</f>
        <v>0.3</v>
      </c>
      <c r="V97" s="37">
        <f t="shared" si="38"/>
        <v>15.7029</v>
      </c>
      <c r="W97" s="139"/>
      <c r="X97" s="139"/>
      <c r="Y97" s="139"/>
      <c r="Z97" s="139"/>
      <c r="AA97" s="139"/>
      <c r="AB97" s="139"/>
      <c r="AC97" s="139"/>
      <c r="AD97" s="139"/>
      <c r="AE97" s="139"/>
      <c r="AF97" s="140"/>
      <c r="AG97" s="140"/>
      <c r="AH97" s="140"/>
      <c r="AI97" s="140"/>
      <c r="AJ97" s="140"/>
      <c r="AK97" s="140"/>
      <c r="AL97" s="140"/>
      <c r="AM97" s="140"/>
      <c r="AN97" s="140"/>
      <c r="AO97" s="140"/>
      <c r="AP97" s="140"/>
      <c r="AQ97" s="140"/>
      <c r="AR97" s="140"/>
      <c r="AS97" s="140"/>
      <c r="AT97" s="140"/>
      <c r="AU97" s="140"/>
      <c r="AV97" s="140"/>
      <c r="AW97" s="140"/>
      <c r="AX97" s="140"/>
      <c r="AY97" s="140"/>
      <c r="AZ97" s="140"/>
      <c r="BA97" s="140"/>
      <c r="BB97" s="140"/>
      <c r="BC97" s="140"/>
      <c r="BD97" s="140"/>
      <c r="BE97" s="140"/>
    </row>
    <row r="98" s="119" customFormat="1" ht="48" customHeight="1" outlineLevel="2" spans="1:57">
      <c r="A98" s="162">
        <f t="shared" si="33"/>
        <v>8</v>
      </c>
      <c r="B98" s="165" t="s">
        <v>97</v>
      </c>
      <c r="C98" s="166" t="s">
        <v>98</v>
      </c>
      <c r="D98" s="165" t="s">
        <v>70</v>
      </c>
      <c r="E98" s="143">
        <v>9.958</v>
      </c>
      <c r="F98" s="143">
        <f>$F$25</f>
        <v>22</v>
      </c>
      <c r="G98" s="143">
        <f>$G$25</f>
        <v>58.195</v>
      </c>
      <c r="H98" s="143">
        <f>$H$25</f>
        <v>6.3</v>
      </c>
      <c r="I98" s="17">
        <f t="shared" si="34"/>
        <v>8.6495</v>
      </c>
      <c r="J98" s="18">
        <f t="shared" si="35"/>
        <v>95.14</v>
      </c>
      <c r="K98" s="19">
        <f t="shared" si="36"/>
        <v>947.4</v>
      </c>
      <c r="L98" s="135"/>
      <c r="M98" s="139">
        <v>1</v>
      </c>
      <c r="N98" s="139"/>
      <c r="O98" s="139"/>
      <c r="P98" s="37">
        <f t="shared" si="37"/>
        <v>86.495</v>
      </c>
      <c r="Q98" s="99">
        <f>$Q$25</f>
        <v>56.5</v>
      </c>
      <c r="R98" s="163">
        <f>$R$25</f>
        <v>0.03</v>
      </c>
      <c r="S98" s="99">
        <f>$S$25</f>
        <v>22</v>
      </c>
      <c r="T98" s="99">
        <f>$T$25</f>
        <v>6</v>
      </c>
      <c r="U98" s="99">
        <f>$U$25</f>
        <v>0.3</v>
      </c>
      <c r="V98" s="37">
        <f t="shared" si="38"/>
        <v>861.31721</v>
      </c>
      <c r="W98" s="139"/>
      <c r="X98" s="139"/>
      <c r="Y98" s="139"/>
      <c r="Z98" s="139"/>
      <c r="AA98" s="139"/>
      <c r="AB98" s="139"/>
      <c r="AC98" s="139"/>
      <c r="AD98" s="139"/>
      <c r="AE98" s="139"/>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row>
    <row r="99" s="119" customFormat="1" ht="48" customHeight="1" outlineLevel="2" spans="1:57">
      <c r="A99" s="162">
        <f t="shared" si="33"/>
        <v>9</v>
      </c>
      <c r="B99" s="165" t="s">
        <v>99</v>
      </c>
      <c r="C99" s="166" t="s">
        <v>100</v>
      </c>
      <c r="D99" s="165" t="s">
        <v>70</v>
      </c>
      <c r="E99" s="143">
        <v>10.298</v>
      </c>
      <c r="F99" s="143">
        <f>$F$26</f>
        <v>12</v>
      </c>
      <c r="G99" s="143">
        <f>$G$26</f>
        <v>23.4325</v>
      </c>
      <c r="H99" s="143">
        <f>$H$26</f>
        <v>3.8</v>
      </c>
      <c r="I99" s="17">
        <f t="shared" si="34"/>
        <v>3.92325</v>
      </c>
      <c r="J99" s="18">
        <f t="shared" si="35"/>
        <v>43.16</v>
      </c>
      <c r="K99" s="19">
        <f t="shared" si="36"/>
        <v>444.46</v>
      </c>
      <c r="L99" s="135"/>
      <c r="M99" s="139">
        <v>1</v>
      </c>
      <c r="N99" s="139"/>
      <c r="O99" s="139"/>
      <c r="P99" s="37">
        <f t="shared" si="37"/>
        <v>39.2325</v>
      </c>
      <c r="Q99" s="99">
        <f>$Q$26</f>
        <v>22.75</v>
      </c>
      <c r="R99" s="163">
        <f>$R$26</f>
        <v>0.03</v>
      </c>
      <c r="S99" s="99">
        <f>$S$26</f>
        <v>12</v>
      </c>
      <c r="T99" s="99">
        <f>$T$26</f>
        <v>3.5</v>
      </c>
      <c r="U99" s="99">
        <f>$U$26</f>
        <v>0.3</v>
      </c>
      <c r="V99" s="37">
        <f t="shared" si="38"/>
        <v>404.016285</v>
      </c>
      <c r="W99" s="139"/>
      <c r="X99" s="139"/>
      <c r="Y99" s="139"/>
      <c r="Z99" s="139"/>
      <c r="AA99" s="139"/>
      <c r="AB99" s="139"/>
      <c r="AC99" s="139"/>
      <c r="AD99" s="139"/>
      <c r="AE99" s="139"/>
      <c r="AF99" s="140"/>
      <c r="AG99" s="140"/>
      <c r="AH99" s="140"/>
      <c r="AI99" s="140"/>
      <c r="AJ99" s="140"/>
      <c r="AK99" s="140"/>
      <c r="AL99" s="140"/>
      <c r="AM99" s="140"/>
      <c r="AN99" s="140"/>
      <c r="AO99" s="140"/>
      <c r="AP99" s="140"/>
      <c r="AQ99" s="140"/>
      <c r="AR99" s="140"/>
      <c r="AS99" s="140"/>
      <c r="AT99" s="140"/>
      <c r="AU99" s="140"/>
      <c r="AV99" s="140"/>
      <c r="AW99" s="140"/>
      <c r="AX99" s="140"/>
      <c r="AY99" s="140"/>
      <c r="AZ99" s="140"/>
      <c r="BA99" s="140"/>
      <c r="BB99" s="140"/>
      <c r="BC99" s="140"/>
      <c r="BD99" s="140"/>
      <c r="BE99" s="140"/>
    </row>
    <row r="100" s="119" customFormat="1" ht="24" customHeight="1" outlineLevel="1" spans="1:57">
      <c r="A100" s="141"/>
      <c r="B100" s="14" t="s">
        <v>101</v>
      </c>
      <c r="C100" s="15"/>
      <c r="D100" s="142"/>
      <c r="E100" s="143"/>
      <c r="F100" s="143"/>
      <c r="G100" s="143"/>
      <c r="H100" s="143"/>
      <c r="I100" s="143"/>
      <c r="J100" s="143"/>
      <c r="K100" s="144"/>
      <c r="L100" s="135"/>
      <c r="M100" s="139"/>
      <c r="N100" s="139"/>
      <c r="O100" s="139"/>
      <c r="P100" s="137"/>
      <c r="Q100" s="137"/>
      <c r="R100" s="138"/>
      <c r="S100" s="137"/>
      <c r="T100" s="137"/>
      <c r="U100" s="137"/>
      <c r="V100" s="137"/>
      <c r="W100" s="139"/>
      <c r="X100" s="139"/>
      <c r="Y100" s="139"/>
      <c r="Z100" s="139"/>
      <c r="AA100" s="139"/>
      <c r="AB100" s="139"/>
      <c r="AC100" s="139"/>
      <c r="AD100" s="139"/>
      <c r="AE100" s="139"/>
      <c r="AF100" s="140"/>
      <c r="AG100" s="140"/>
      <c r="AH100" s="140"/>
      <c r="AI100" s="140"/>
      <c r="AJ100" s="140"/>
      <c r="AK100" s="140"/>
      <c r="AL100" s="140"/>
      <c r="AM100" s="140"/>
      <c r="AN100" s="140"/>
      <c r="AO100" s="140"/>
      <c r="AP100" s="140"/>
      <c r="AQ100" s="140"/>
      <c r="AR100" s="140"/>
      <c r="AS100" s="140"/>
      <c r="AT100" s="140"/>
      <c r="AU100" s="140"/>
      <c r="AV100" s="140"/>
      <c r="AW100" s="140"/>
      <c r="AX100" s="140"/>
      <c r="AY100" s="140"/>
      <c r="AZ100" s="140"/>
      <c r="BA100" s="140"/>
      <c r="BB100" s="140"/>
      <c r="BC100" s="140"/>
      <c r="BD100" s="140"/>
      <c r="BE100" s="140"/>
    </row>
    <row r="101" s="119" customFormat="1" ht="96" customHeight="1" outlineLevel="2" spans="1:57">
      <c r="A101" s="162">
        <f>1+N(A100)</f>
        <v>1</v>
      </c>
      <c r="B101" s="14" t="s">
        <v>102</v>
      </c>
      <c r="C101" s="167" t="s">
        <v>103</v>
      </c>
      <c r="D101" s="142" t="s">
        <v>63</v>
      </c>
      <c r="E101" s="143">
        <v>16.22</v>
      </c>
      <c r="F101" s="143">
        <f>$F$28</f>
        <v>70</v>
      </c>
      <c r="G101" s="143">
        <f>$G$28</f>
        <v>0</v>
      </c>
      <c r="H101" s="143">
        <f>$H$28</f>
        <v>66.711</v>
      </c>
      <c r="I101" s="17">
        <f>(F101+G101+H101)*$I$3</f>
        <v>13.6711</v>
      </c>
      <c r="J101" s="18">
        <f>ROUND(SUM(F101:I101),2)</f>
        <v>150.38</v>
      </c>
      <c r="K101" s="19">
        <f>ROUND(J101*E101,2)</f>
        <v>2439.16</v>
      </c>
      <c r="L101" s="135"/>
      <c r="M101" s="139">
        <v>1</v>
      </c>
      <c r="N101" s="139"/>
      <c r="O101" s="139"/>
      <c r="P101" s="37">
        <f>Q101+Q101*R101+S101+T101+U101</f>
        <v>136.711</v>
      </c>
      <c r="Q101" s="99">
        <f>$Q$28</f>
        <v>0</v>
      </c>
      <c r="R101" s="163">
        <f>$R$28</f>
        <v>0.01</v>
      </c>
      <c r="S101" s="99">
        <f>$S$28</f>
        <v>70</v>
      </c>
      <c r="T101" s="99">
        <f>$T$28</f>
        <v>64.711</v>
      </c>
      <c r="U101" s="99">
        <f>$U$28</f>
        <v>2</v>
      </c>
      <c r="V101" s="37">
        <f>P101*E101</f>
        <v>2217.45242</v>
      </c>
      <c r="W101" s="139"/>
      <c r="X101" s="139"/>
      <c r="Y101" s="139"/>
      <c r="Z101" s="139"/>
      <c r="AA101" s="139"/>
      <c r="AB101" s="139"/>
      <c r="AC101" s="139"/>
      <c r="AD101" s="139"/>
      <c r="AE101" s="139"/>
      <c r="AF101" s="140"/>
      <c r="AG101" s="140"/>
      <c r="AH101" s="140"/>
      <c r="AI101" s="140"/>
      <c r="AJ101" s="140"/>
      <c r="AK101" s="140"/>
      <c r="AL101" s="140"/>
      <c r="AM101" s="140"/>
      <c r="AN101" s="140"/>
      <c r="AO101" s="140"/>
      <c r="AP101" s="140"/>
      <c r="AQ101" s="140"/>
      <c r="AR101" s="140"/>
      <c r="AS101" s="140"/>
      <c r="AT101" s="140"/>
      <c r="AU101" s="140"/>
      <c r="AV101" s="140"/>
      <c r="AW101" s="140"/>
      <c r="AX101" s="140"/>
      <c r="AY101" s="140"/>
      <c r="AZ101" s="140"/>
      <c r="BA101" s="140"/>
      <c r="BB101" s="140"/>
      <c r="BC101" s="140"/>
      <c r="BD101" s="140"/>
      <c r="BE101" s="140"/>
    </row>
    <row r="102" s="119" customFormat="1" ht="72" customHeight="1" outlineLevel="2" spans="1:57">
      <c r="A102" s="162">
        <f>1+N(A101)</f>
        <v>2</v>
      </c>
      <c r="B102" s="14" t="s">
        <v>104</v>
      </c>
      <c r="C102" s="167" t="s">
        <v>105</v>
      </c>
      <c r="D102" s="142" t="s">
        <v>70</v>
      </c>
      <c r="E102" s="143">
        <v>13.55</v>
      </c>
      <c r="F102" s="143">
        <f>$F$29</f>
        <v>50</v>
      </c>
      <c r="G102" s="143">
        <f>$G$29</f>
        <v>0</v>
      </c>
      <c r="H102" s="143">
        <f>$H$29</f>
        <v>22.0941</v>
      </c>
      <c r="I102" s="17">
        <f>(F102+G102+H102)*$I$3</f>
        <v>7.20941</v>
      </c>
      <c r="J102" s="18">
        <f>ROUND(SUM(F102:I102),2)</f>
        <v>79.3</v>
      </c>
      <c r="K102" s="19">
        <f>ROUND(J102*E102,2)</f>
        <v>1074.52</v>
      </c>
      <c r="L102" s="135"/>
      <c r="M102" s="139">
        <v>1</v>
      </c>
      <c r="N102" s="139"/>
      <c r="O102" s="139"/>
      <c r="P102" s="37">
        <f>Q102+Q102*R102+S102+T102+U102</f>
        <v>72.0941</v>
      </c>
      <c r="Q102" s="99">
        <f>$Q$29</f>
        <v>0</v>
      </c>
      <c r="R102" s="163">
        <f>$R$29</f>
        <v>0.01</v>
      </c>
      <c r="S102" s="99">
        <f>$S$29</f>
        <v>50</v>
      </c>
      <c r="T102" s="99">
        <f>$T$29</f>
        <v>22.0941</v>
      </c>
      <c r="U102" s="99">
        <f>$U$29</f>
        <v>0</v>
      </c>
      <c r="V102" s="37">
        <f>P102*E102</f>
        <v>976.875055</v>
      </c>
      <c r="W102" s="139"/>
      <c r="X102" s="139"/>
      <c r="Y102" s="139"/>
      <c r="Z102" s="139"/>
      <c r="AA102" s="139"/>
      <c r="AB102" s="139"/>
      <c r="AC102" s="139"/>
      <c r="AD102" s="139"/>
      <c r="AE102" s="139"/>
      <c r="AF102" s="140"/>
      <c r="AG102" s="140"/>
      <c r="AH102" s="140"/>
      <c r="AI102" s="140"/>
      <c r="AJ102" s="140"/>
      <c r="AK102" s="140"/>
      <c r="AL102" s="140"/>
      <c r="AM102" s="140"/>
      <c r="AN102" s="140"/>
      <c r="AO102" s="140"/>
      <c r="AP102" s="140"/>
      <c r="AQ102" s="140"/>
      <c r="AR102" s="140"/>
      <c r="AS102" s="140"/>
      <c r="AT102" s="140"/>
      <c r="AU102" s="140"/>
      <c r="AV102" s="140"/>
      <c r="AW102" s="140"/>
      <c r="AX102" s="140"/>
      <c r="AY102" s="140"/>
      <c r="AZ102" s="140"/>
      <c r="BA102" s="140"/>
      <c r="BB102" s="140"/>
      <c r="BC102" s="140"/>
      <c r="BD102" s="140"/>
      <c r="BE102" s="140"/>
    </row>
    <row r="103" s="119" customFormat="1" ht="72" customHeight="1" outlineLevel="2" spans="1:57">
      <c r="A103" s="162">
        <f>1+N(A102)</f>
        <v>3</v>
      </c>
      <c r="B103" s="14" t="s">
        <v>106</v>
      </c>
      <c r="C103" s="15" t="s">
        <v>107</v>
      </c>
      <c r="D103" s="142" t="s">
        <v>70</v>
      </c>
      <c r="E103" s="143">
        <v>13.55</v>
      </c>
      <c r="F103" s="143">
        <f>$F$30</f>
        <v>18</v>
      </c>
      <c r="G103" s="143">
        <f>$G$30</f>
        <v>163.255</v>
      </c>
      <c r="H103" s="143">
        <f>$H$30</f>
        <v>3.8</v>
      </c>
      <c r="I103" s="17">
        <f>(F103+G103+H103)*$I$3</f>
        <v>18.5055</v>
      </c>
      <c r="J103" s="18">
        <f>ROUND(SUM(F103:I103),2)</f>
        <v>203.56</v>
      </c>
      <c r="K103" s="19">
        <f>ROUND(J103*E103,2)</f>
        <v>2758.24</v>
      </c>
      <c r="L103" s="135"/>
      <c r="M103" s="139">
        <v>1</v>
      </c>
      <c r="N103" s="139"/>
      <c r="O103" s="139"/>
      <c r="P103" s="37">
        <f>Q103+Q103*R103+S103+T103+U103</f>
        <v>185.055</v>
      </c>
      <c r="Q103" s="99">
        <f>$Q$30</f>
        <v>158.5</v>
      </c>
      <c r="R103" s="163">
        <f>$R$30</f>
        <v>0.03</v>
      </c>
      <c r="S103" s="99">
        <f>$S$30</f>
        <v>18</v>
      </c>
      <c r="T103" s="99">
        <f>$T$30</f>
        <v>3.5</v>
      </c>
      <c r="U103" s="99">
        <f>$U$30</f>
        <v>0.3</v>
      </c>
      <c r="V103" s="37">
        <f>P103*E103</f>
        <v>2507.49525</v>
      </c>
      <c r="W103" s="139"/>
      <c r="X103" s="139"/>
      <c r="Y103" s="139"/>
      <c r="Z103" s="139"/>
      <c r="AA103" s="139"/>
      <c r="AB103" s="139"/>
      <c r="AC103" s="139"/>
      <c r="AD103" s="139"/>
      <c r="AE103" s="139"/>
      <c r="AF103" s="140"/>
      <c r="AG103" s="140"/>
      <c r="AH103" s="140"/>
      <c r="AI103" s="140"/>
      <c r="AJ103" s="140"/>
      <c r="AK103" s="140"/>
      <c r="AL103" s="140"/>
      <c r="AM103" s="140"/>
      <c r="AN103" s="140"/>
      <c r="AO103" s="140"/>
      <c r="AP103" s="140"/>
      <c r="AQ103" s="140"/>
      <c r="AR103" s="140"/>
      <c r="AS103" s="140"/>
      <c r="AT103" s="140"/>
      <c r="AU103" s="140"/>
      <c r="AV103" s="140"/>
      <c r="AW103" s="140"/>
      <c r="AX103" s="140"/>
      <c r="AY103" s="140"/>
      <c r="AZ103" s="140"/>
      <c r="BA103" s="140"/>
      <c r="BB103" s="140"/>
      <c r="BC103" s="140"/>
      <c r="BD103" s="140"/>
      <c r="BE103" s="140"/>
    </row>
    <row r="104" s="119" customFormat="1" ht="72" customHeight="1" outlineLevel="2" spans="1:57">
      <c r="A104" s="162">
        <f>1+N(A103)</f>
        <v>4</v>
      </c>
      <c r="B104" s="14" t="s">
        <v>108</v>
      </c>
      <c r="C104" s="15" t="s">
        <v>109</v>
      </c>
      <c r="D104" s="142" t="s">
        <v>70</v>
      </c>
      <c r="E104" s="143">
        <f>1.2*2*1</f>
        <v>2.4</v>
      </c>
      <c r="F104" s="143">
        <f>$F$31</f>
        <v>30</v>
      </c>
      <c r="G104" s="143">
        <f>$G$31</f>
        <v>65.6625</v>
      </c>
      <c r="H104" s="143">
        <f>$H$31</f>
        <v>2.7</v>
      </c>
      <c r="I104" s="17">
        <f>(F104+G104+H104)*$I$3</f>
        <v>9.83625</v>
      </c>
      <c r="J104" s="18">
        <f>ROUND(SUM(F104:I104),2)</f>
        <v>108.2</v>
      </c>
      <c r="K104" s="19">
        <f>ROUND(J104*E104,2)</f>
        <v>259.68</v>
      </c>
      <c r="L104" s="135"/>
      <c r="M104" s="139">
        <v>1</v>
      </c>
      <c r="N104" s="139"/>
      <c r="O104" s="139"/>
      <c r="P104" s="37">
        <f>Q104+Q104*R104+S104+T104+U104</f>
        <v>98.3625</v>
      </c>
      <c r="Q104" s="99">
        <f>$Q$31</f>
        <v>63.75</v>
      </c>
      <c r="R104" s="163">
        <f>$R$31</f>
        <v>0.03</v>
      </c>
      <c r="S104" s="99">
        <f>$S$31</f>
        <v>30</v>
      </c>
      <c r="T104" s="99">
        <f>$T$31</f>
        <v>2.5</v>
      </c>
      <c r="U104" s="99">
        <f>$U$31</f>
        <v>0.2</v>
      </c>
      <c r="V104" s="37">
        <f>P104*E104</f>
        <v>236.07</v>
      </c>
      <c r="W104" s="139"/>
      <c r="X104" s="139"/>
      <c r="Y104" s="139"/>
      <c r="Z104" s="139"/>
      <c r="AA104" s="139"/>
      <c r="AB104" s="139"/>
      <c r="AC104" s="139"/>
      <c r="AD104" s="139"/>
      <c r="AE104" s="139"/>
      <c r="AF104" s="140"/>
      <c r="AG104" s="140"/>
      <c r="AH104" s="140"/>
      <c r="AI104" s="140"/>
      <c r="AJ104" s="140"/>
      <c r="AK104" s="140"/>
      <c r="AL104" s="140"/>
      <c r="AM104" s="140"/>
      <c r="AN104" s="140"/>
      <c r="AO104" s="140"/>
      <c r="AP104" s="140"/>
      <c r="AQ104" s="140"/>
      <c r="AR104" s="140"/>
      <c r="AS104" s="140"/>
      <c r="AT104" s="140"/>
      <c r="AU104" s="140"/>
      <c r="AV104" s="140"/>
      <c r="AW104" s="140"/>
      <c r="AX104" s="140"/>
      <c r="AY104" s="140"/>
      <c r="AZ104" s="140"/>
      <c r="BA104" s="140"/>
      <c r="BB104" s="140"/>
      <c r="BC104" s="140"/>
      <c r="BD104" s="140"/>
      <c r="BE104" s="140"/>
    </row>
    <row r="105" s="119" customFormat="1" ht="72" customHeight="1" outlineLevel="2" spans="1:57">
      <c r="A105" s="162">
        <f>1+N(A104)</f>
        <v>5</v>
      </c>
      <c r="B105" s="14" t="s">
        <v>110</v>
      </c>
      <c r="C105" s="15" t="s">
        <v>111</v>
      </c>
      <c r="D105" s="142" t="s">
        <v>63</v>
      </c>
      <c r="E105" s="143">
        <f>16.22+13.55*0.3</f>
        <v>20.285</v>
      </c>
      <c r="F105" s="143">
        <f>$F$32</f>
        <v>45</v>
      </c>
      <c r="G105" s="143">
        <f>$G$32</f>
        <v>85.5</v>
      </c>
      <c r="H105" s="143">
        <f>$H$32</f>
        <v>7.3</v>
      </c>
      <c r="I105" s="17">
        <f>(F105+G105+H105)*$I$3</f>
        <v>13.78</v>
      </c>
      <c r="J105" s="18">
        <f>ROUND(SUM(F105:I105),2)</f>
        <v>151.58</v>
      </c>
      <c r="K105" s="19">
        <f>ROUND(J105*E105,2)</f>
        <v>3074.8</v>
      </c>
      <c r="L105" s="135"/>
      <c r="M105" s="139">
        <v>1</v>
      </c>
      <c r="N105" s="139"/>
      <c r="O105" s="139"/>
      <c r="P105" s="37">
        <f>Q105+Q105*R105+S105+T105+U105</f>
        <v>137.8</v>
      </c>
      <c r="Q105" s="99">
        <f>$Q$32</f>
        <v>85.5</v>
      </c>
      <c r="R105" s="163">
        <f>$R$32</f>
        <v>0</v>
      </c>
      <c r="S105" s="99">
        <f>$S$32</f>
        <v>45</v>
      </c>
      <c r="T105" s="99">
        <f>$T$32</f>
        <v>6.5</v>
      </c>
      <c r="U105" s="99">
        <f>$U$32</f>
        <v>0.8</v>
      </c>
      <c r="V105" s="37">
        <f>P105*E105</f>
        <v>2795.273</v>
      </c>
      <c r="W105" s="139"/>
      <c r="X105" s="139"/>
      <c r="Y105" s="139"/>
      <c r="Z105" s="139"/>
      <c r="AA105" s="139"/>
      <c r="AB105" s="139"/>
      <c r="AC105" s="139"/>
      <c r="AD105" s="139"/>
      <c r="AE105" s="139"/>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row>
    <row r="106" s="119" customFormat="1" ht="24" customHeight="1" outlineLevel="1" spans="1:57">
      <c r="A106" s="141"/>
      <c r="B106" s="14" t="s">
        <v>112</v>
      </c>
      <c r="C106" s="15"/>
      <c r="D106" s="142"/>
      <c r="E106" s="143"/>
      <c r="F106" s="143"/>
      <c r="G106" s="143"/>
      <c r="H106" s="143"/>
      <c r="I106" s="143"/>
      <c r="J106" s="143"/>
      <c r="K106" s="144"/>
      <c r="L106" s="135"/>
      <c r="M106" s="139"/>
      <c r="N106" s="139"/>
      <c r="O106" s="139"/>
      <c r="P106" s="137"/>
      <c r="Q106" s="137"/>
      <c r="R106" s="138"/>
      <c r="S106" s="137"/>
      <c r="T106" s="137"/>
      <c r="U106" s="137"/>
      <c r="V106" s="137"/>
      <c r="W106" s="139"/>
      <c r="X106" s="139"/>
      <c r="Y106" s="139"/>
      <c r="Z106" s="139"/>
      <c r="AA106" s="139"/>
      <c r="AB106" s="139"/>
      <c r="AC106" s="139"/>
      <c r="AD106" s="139"/>
      <c r="AE106" s="139"/>
      <c r="AF106" s="140"/>
      <c r="AG106" s="140"/>
      <c r="AH106" s="140"/>
      <c r="AI106" s="140"/>
      <c r="AJ106" s="140"/>
      <c r="AK106" s="140"/>
      <c r="AL106" s="140"/>
      <c r="AM106" s="140"/>
      <c r="AN106" s="140"/>
      <c r="AO106" s="140"/>
      <c r="AP106" s="140"/>
      <c r="AQ106" s="140"/>
      <c r="AR106" s="140"/>
      <c r="AS106" s="140"/>
      <c r="AT106" s="140"/>
      <c r="AU106" s="140"/>
      <c r="AV106" s="140"/>
      <c r="AW106" s="140"/>
      <c r="AX106" s="140"/>
      <c r="AY106" s="140"/>
      <c r="AZ106" s="140"/>
      <c r="BA106" s="140"/>
      <c r="BB106" s="140"/>
      <c r="BC106" s="140"/>
      <c r="BD106" s="140"/>
      <c r="BE106" s="140"/>
    </row>
    <row r="107" s="119" customFormat="1" ht="36" customHeight="1" outlineLevel="2" spans="1:57">
      <c r="A107" s="145">
        <f>1+N(A106)</f>
        <v>1</v>
      </c>
      <c r="B107" s="146" t="s">
        <v>141</v>
      </c>
      <c r="C107" s="147" t="s">
        <v>114</v>
      </c>
      <c r="D107" s="148" t="s">
        <v>63</v>
      </c>
      <c r="E107" s="149">
        <f>0.75*3</f>
        <v>2.25</v>
      </c>
      <c r="F107" s="149">
        <f>S107*$S$1</f>
        <v>165</v>
      </c>
      <c r="G107" s="149">
        <f>Q107*(1+R107)*$Q$1</f>
        <v>85</v>
      </c>
      <c r="H107" s="149">
        <f>(T107+U107)*$T$1</f>
        <v>355.1744</v>
      </c>
      <c r="I107" s="150">
        <f>(F107+G107+H107)*$I$3</f>
        <v>60.51744</v>
      </c>
      <c r="J107" s="151">
        <f>ROUND(SUM(F107:I107),2)</f>
        <v>665.69</v>
      </c>
      <c r="K107" s="152">
        <f>ROUND(J107*E107,2)</f>
        <v>1497.8</v>
      </c>
      <c r="L107" s="153"/>
      <c r="M107" s="139">
        <v>1</v>
      </c>
      <c r="N107" s="139"/>
      <c r="O107" s="139"/>
      <c r="P107" s="37">
        <f>Q107+Q107*R107+S107+T107+U107</f>
        <v>605.1744</v>
      </c>
      <c r="Q107" s="71">
        <v>85</v>
      </c>
      <c r="R107" s="157">
        <v>0</v>
      </c>
      <c r="S107" s="71">
        <v>165</v>
      </c>
      <c r="T107" s="71">
        <v>353.6744</v>
      </c>
      <c r="U107" s="71">
        <v>1.5</v>
      </c>
      <c r="V107" s="37">
        <f>P107*E107</f>
        <v>1361.6424</v>
      </c>
      <c r="W107" s="139"/>
      <c r="X107" s="139"/>
      <c r="Y107" s="139"/>
      <c r="Z107" s="139"/>
      <c r="AA107" s="139"/>
      <c r="AB107" s="139"/>
      <c r="AC107" s="139"/>
      <c r="AD107" s="139"/>
      <c r="AE107" s="139"/>
      <c r="AF107" s="140"/>
      <c r="AG107" s="140"/>
      <c r="AH107" s="140"/>
      <c r="AI107" s="140"/>
      <c r="AJ107" s="140"/>
      <c r="AK107" s="140"/>
      <c r="AL107" s="140"/>
      <c r="AM107" s="140"/>
      <c r="AN107" s="140"/>
      <c r="AO107" s="140"/>
      <c r="AP107" s="140"/>
      <c r="AQ107" s="140"/>
      <c r="AR107" s="140"/>
      <c r="AS107" s="140"/>
      <c r="AT107" s="140"/>
      <c r="AU107" s="140"/>
      <c r="AV107" s="140"/>
      <c r="AW107" s="140"/>
      <c r="AX107" s="140"/>
      <c r="AY107" s="140"/>
      <c r="AZ107" s="140"/>
      <c r="BA107" s="140"/>
      <c r="BB107" s="140"/>
      <c r="BC107" s="140"/>
      <c r="BD107" s="140"/>
      <c r="BE107" s="140"/>
    </row>
    <row r="108" s="119" customFormat="1" ht="36" customHeight="1" outlineLevel="2" spans="1:57">
      <c r="A108" s="162">
        <f>1+N(A107)</f>
        <v>2</v>
      </c>
      <c r="B108" s="14" t="s">
        <v>126</v>
      </c>
      <c r="C108" s="15" t="s">
        <v>114</v>
      </c>
      <c r="D108" s="142" t="s">
        <v>63</v>
      </c>
      <c r="E108" s="143">
        <f>0.7*3</f>
        <v>2.1</v>
      </c>
      <c r="F108" s="143">
        <f>$F$60</f>
        <v>165</v>
      </c>
      <c r="G108" s="143">
        <f>$G$60</f>
        <v>85</v>
      </c>
      <c r="H108" s="143">
        <f>$H$60</f>
        <v>355.1744</v>
      </c>
      <c r="I108" s="17">
        <f>(F108+G108+H108)*$I$3</f>
        <v>60.51744</v>
      </c>
      <c r="J108" s="18">
        <f>ROUND(SUM(F108:I108),2)</f>
        <v>665.69</v>
      </c>
      <c r="K108" s="19">
        <f>ROUND(J108*E108,2)</f>
        <v>1397.95</v>
      </c>
      <c r="L108" s="135"/>
      <c r="M108" s="139">
        <v>1</v>
      </c>
      <c r="N108" s="139"/>
      <c r="O108" s="139"/>
      <c r="P108" s="37">
        <f>Q108+Q108*R108+S108+T108+U108</f>
        <v>605.1744</v>
      </c>
      <c r="Q108" s="99">
        <f>$Q$60</f>
        <v>85</v>
      </c>
      <c r="R108" s="163">
        <f>$R$60</f>
        <v>0</v>
      </c>
      <c r="S108" s="99">
        <f>$S$60</f>
        <v>165</v>
      </c>
      <c r="T108" s="99">
        <f>$T$60</f>
        <v>353.6744</v>
      </c>
      <c r="U108" s="99">
        <f>$U$60</f>
        <v>1.5</v>
      </c>
      <c r="V108" s="37">
        <f>P108*E108</f>
        <v>1270.86624</v>
      </c>
      <c r="W108" s="139"/>
      <c r="X108" s="139"/>
      <c r="Y108" s="139"/>
      <c r="Z108" s="139"/>
      <c r="AA108" s="139"/>
      <c r="AB108" s="139"/>
      <c r="AC108" s="139"/>
      <c r="AD108" s="139"/>
      <c r="AE108" s="139"/>
      <c r="AF108" s="140"/>
      <c r="AG108" s="140"/>
      <c r="AH108" s="140"/>
      <c r="AI108" s="140"/>
      <c r="AJ108" s="140"/>
      <c r="AK108" s="140"/>
      <c r="AL108" s="140"/>
      <c r="AM108" s="140"/>
      <c r="AN108" s="140"/>
      <c r="AO108" s="140"/>
      <c r="AP108" s="140"/>
      <c r="AQ108" s="140"/>
      <c r="AR108" s="140"/>
      <c r="AS108" s="140"/>
      <c r="AT108" s="140"/>
      <c r="AU108" s="140"/>
      <c r="AV108" s="140"/>
      <c r="AW108" s="140"/>
      <c r="AX108" s="140"/>
      <c r="AY108" s="140"/>
      <c r="AZ108" s="140"/>
      <c r="BA108" s="140"/>
      <c r="BB108" s="140"/>
      <c r="BC108" s="140"/>
      <c r="BD108" s="140"/>
      <c r="BE108" s="140"/>
    </row>
    <row r="109" s="119" customFormat="1" ht="72" customHeight="1" outlineLevel="2" spans="1:57">
      <c r="A109" s="162">
        <f>1+N(A108)</f>
        <v>3</v>
      </c>
      <c r="B109" s="14" t="s">
        <v>115</v>
      </c>
      <c r="C109" s="166" t="s">
        <v>116</v>
      </c>
      <c r="D109" s="142" t="s">
        <v>63</v>
      </c>
      <c r="E109" s="143">
        <f>1.84*3</f>
        <v>5.52</v>
      </c>
      <c r="F109" s="143">
        <f>$F$35</f>
        <v>145</v>
      </c>
      <c r="G109" s="143">
        <f>$G$35</f>
        <v>1650</v>
      </c>
      <c r="H109" s="143">
        <f>$H$35</f>
        <v>31.5</v>
      </c>
      <c r="I109" s="17">
        <f>(F109+G109+H109)*$I$3</f>
        <v>182.65</v>
      </c>
      <c r="J109" s="18">
        <f>ROUND(SUM(F109:I109),2)</f>
        <v>2009.15</v>
      </c>
      <c r="K109" s="19">
        <f>ROUND(J109*E109,2)</f>
        <v>11090.51</v>
      </c>
      <c r="L109" s="135"/>
      <c r="M109" s="139">
        <v>1</v>
      </c>
      <c r="N109" s="139"/>
      <c r="O109" s="139"/>
      <c r="P109" s="37">
        <f>Q109+Q109*R109+S109+T109+U109</f>
        <v>1826.5</v>
      </c>
      <c r="Q109" s="99">
        <f>$Q$35</f>
        <v>1650</v>
      </c>
      <c r="R109" s="163">
        <f>$R$35</f>
        <v>0</v>
      </c>
      <c r="S109" s="99">
        <f>$S$35</f>
        <v>145</v>
      </c>
      <c r="T109" s="99">
        <f>$T$35</f>
        <v>30</v>
      </c>
      <c r="U109" s="99">
        <f>$U$35</f>
        <v>1.5</v>
      </c>
      <c r="V109" s="37">
        <f>P109*E109</f>
        <v>10082.28</v>
      </c>
      <c r="W109" s="139"/>
      <c r="X109" s="139"/>
      <c r="Y109" s="139"/>
      <c r="Z109" s="139"/>
      <c r="AA109" s="139"/>
      <c r="AB109" s="139"/>
      <c r="AC109" s="139"/>
      <c r="AD109" s="139"/>
      <c r="AE109" s="139"/>
      <c r="AF109" s="140"/>
      <c r="AG109" s="140"/>
      <c r="AH109" s="140"/>
      <c r="AI109" s="140"/>
      <c r="AJ109" s="140"/>
      <c r="AK109" s="140"/>
      <c r="AL109" s="140"/>
      <c r="AM109" s="140"/>
      <c r="AN109" s="140"/>
      <c r="AO109" s="140"/>
      <c r="AP109" s="140"/>
      <c r="AQ109" s="140"/>
      <c r="AR109" s="140"/>
      <c r="AS109" s="140"/>
      <c r="AT109" s="140"/>
      <c r="AU109" s="140"/>
      <c r="AV109" s="140"/>
      <c r="AW109" s="140"/>
      <c r="AX109" s="140"/>
      <c r="AY109" s="140"/>
      <c r="AZ109" s="140"/>
      <c r="BA109" s="140"/>
      <c r="BB109" s="140"/>
      <c r="BC109" s="140"/>
      <c r="BD109" s="140"/>
      <c r="BE109" s="140"/>
    </row>
    <row r="110" s="119" customFormat="1" ht="36" customHeight="1" outlineLevel="2" spans="1:57">
      <c r="A110" s="162">
        <f>1+N(A109)</f>
        <v>4</v>
      </c>
      <c r="B110" s="165" t="s">
        <v>117</v>
      </c>
      <c r="C110" s="166" t="s">
        <v>118</v>
      </c>
      <c r="D110" s="165" t="s">
        <v>63</v>
      </c>
      <c r="E110" s="143">
        <f>(0.255*2)*3</f>
        <v>1.53</v>
      </c>
      <c r="F110" s="143">
        <f>$F$36</f>
        <v>110</v>
      </c>
      <c r="G110" s="143">
        <f>$G$36</f>
        <v>419.15</v>
      </c>
      <c r="H110" s="143">
        <f>$H$36</f>
        <v>68.5</v>
      </c>
      <c r="I110" s="17">
        <f>(F110+G110+H110)*$I$3</f>
        <v>59.765</v>
      </c>
      <c r="J110" s="18">
        <f>ROUND(SUM(F110:I110),2)</f>
        <v>657.42</v>
      </c>
      <c r="K110" s="19">
        <f>ROUND(J110*E110,2)</f>
        <v>1005.85</v>
      </c>
      <c r="L110" s="135"/>
      <c r="M110" s="139">
        <v>1</v>
      </c>
      <c r="N110" s="139"/>
      <c r="O110" s="139"/>
      <c r="P110" s="37">
        <f>Q110+Q110*R110+S110+T110+U110</f>
        <v>597.65</v>
      </c>
      <c r="Q110" s="99">
        <f>$Q$36</f>
        <v>415</v>
      </c>
      <c r="R110" s="163">
        <f>$R$36</f>
        <v>0.01</v>
      </c>
      <c r="S110" s="99">
        <f>$S$36</f>
        <v>110</v>
      </c>
      <c r="T110" s="99">
        <f>$T$36</f>
        <v>65</v>
      </c>
      <c r="U110" s="99">
        <f>$U$36</f>
        <v>3.5</v>
      </c>
      <c r="V110" s="37">
        <f>P110*E110</f>
        <v>914.4045</v>
      </c>
      <c r="W110" s="139"/>
      <c r="X110" s="139"/>
      <c r="Y110" s="139"/>
      <c r="Z110" s="139"/>
      <c r="AA110" s="139"/>
      <c r="AB110" s="139"/>
      <c r="AC110" s="139"/>
      <c r="AD110" s="139"/>
      <c r="AE110" s="139"/>
      <c r="AF110" s="140"/>
      <c r="AG110" s="140"/>
      <c r="AH110" s="140"/>
      <c r="AI110" s="140"/>
      <c r="AJ110" s="140"/>
      <c r="AK110" s="140"/>
      <c r="AL110" s="140"/>
      <c r="AM110" s="140"/>
      <c r="AN110" s="140"/>
      <c r="AO110" s="140"/>
      <c r="AP110" s="140"/>
      <c r="AQ110" s="140"/>
      <c r="AR110" s="140"/>
      <c r="AS110" s="140"/>
      <c r="AT110" s="140"/>
      <c r="AU110" s="140"/>
      <c r="AV110" s="140"/>
      <c r="AW110" s="140"/>
      <c r="AX110" s="140"/>
      <c r="AY110" s="140"/>
      <c r="AZ110" s="140"/>
      <c r="BA110" s="140"/>
      <c r="BB110" s="140"/>
      <c r="BC110" s="140"/>
      <c r="BD110" s="140"/>
      <c r="BE110" s="140"/>
    </row>
    <row r="111" s="119" customFormat="1" ht="24" customHeight="1" outlineLevel="1" spans="1:57">
      <c r="A111" s="132" t="s">
        <v>142</v>
      </c>
      <c r="B111" s="8" t="s">
        <v>143</v>
      </c>
      <c r="C111" s="8"/>
      <c r="D111" s="133"/>
      <c r="E111" s="134"/>
      <c r="F111" s="134"/>
      <c r="G111" s="134"/>
      <c r="H111" s="134"/>
      <c r="I111" s="134"/>
      <c r="J111" s="134"/>
      <c r="K111" s="11"/>
      <c r="L111" s="135"/>
      <c r="M111" s="139"/>
      <c r="N111" s="139"/>
      <c r="O111" s="139" t="str">
        <f>_xlfn.DISPIMG("ID_6F7EB677A5094C20B2B71D2F1EE10752",1)</f>
        <v>=DISPIMG("ID_6F7EB677A5094C20B2B71D2F1EE10752",1)</v>
      </c>
      <c r="P111" s="137"/>
      <c r="Q111" s="137"/>
      <c r="R111" s="138"/>
      <c r="S111" s="137"/>
      <c r="T111" s="137"/>
      <c r="U111" s="137"/>
      <c r="V111" s="137"/>
      <c r="W111" s="139"/>
      <c r="X111" s="139"/>
      <c r="Y111" s="139"/>
      <c r="Z111" s="139"/>
      <c r="AA111" s="139"/>
      <c r="AB111" s="139"/>
      <c r="AC111" s="139"/>
      <c r="AD111" s="139"/>
      <c r="AE111" s="139"/>
      <c r="AF111" s="140"/>
      <c r="AG111" s="140"/>
      <c r="AH111" s="140"/>
      <c r="AI111" s="140"/>
      <c r="AJ111" s="140"/>
      <c r="AK111" s="140"/>
      <c r="AL111" s="140"/>
      <c r="AM111" s="140"/>
      <c r="AN111" s="140"/>
      <c r="AO111" s="140"/>
      <c r="AP111" s="140"/>
      <c r="AQ111" s="140"/>
      <c r="AR111" s="140"/>
      <c r="AS111" s="140"/>
      <c r="AT111" s="140"/>
      <c r="AU111" s="140"/>
      <c r="AV111" s="140"/>
      <c r="AW111" s="140"/>
      <c r="AX111" s="140"/>
      <c r="AY111" s="140"/>
      <c r="AZ111" s="140"/>
      <c r="BA111" s="140"/>
      <c r="BB111" s="140"/>
      <c r="BC111" s="140"/>
      <c r="BD111" s="140"/>
      <c r="BE111" s="140"/>
    </row>
    <row r="112" s="119" customFormat="1" ht="24" customHeight="1" outlineLevel="1" spans="1:57">
      <c r="A112" s="141"/>
      <c r="B112" s="14" t="s">
        <v>60</v>
      </c>
      <c r="C112" s="15"/>
      <c r="D112" s="142"/>
      <c r="E112" s="143"/>
      <c r="F112" s="143"/>
      <c r="G112" s="143"/>
      <c r="H112" s="143"/>
      <c r="I112" s="143"/>
      <c r="J112" s="143"/>
      <c r="K112" s="144"/>
      <c r="L112" s="135"/>
      <c r="M112" s="139"/>
      <c r="N112" s="139"/>
      <c r="O112" s="139"/>
      <c r="P112" s="137"/>
      <c r="Q112" s="137"/>
      <c r="R112" s="138"/>
      <c r="S112" s="137"/>
      <c r="T112" s="137"/>
      <c r="U112" s="137"/>
      <c r="V112" s="137"/>
      <c r="W112" s="139"/>
      <c r="X112" s="139"/>
      <c r="Y112" s="139"/>
      <c r="Z112" s="139"/>
      <c r="AA112" s="139"/>
      <c r="AB112" s="139"/>
      <c r="AC112" s="139"/>
      <c r="AD112" s="139"/>
      <c r="AE112" s="139"/>
      <c r="AF112" s="140"/>
      <c r="AG112" s="140"/>
      <c r="AH112" s="140"/>
      <c r="AI112" s="140"/>
      <c r="AJ112" s="140"/>
      <c r="AK112" s="140"/>
      <c r="AL112" s="140"/>
      <c r="AM112" s="140"/>
      <c r="AN112" s="140"/>
      <c r="AO112" s="140"/>
      <c r="AP112" s="140"/>
      <c r="AQ112" s="140"/>
      <c r="AR112" s="140"/>
      <c r="AS112" s="140"/>
      <c r="AT112" s="140"/>
      <c r="AU112" s="140"/>
      <c r="AV112" s="140"/>
      <c r="AW112" s="140"/>
      <c r="AX112" s="140"/>
      <c r="AY112" s="140"/>
      <c r="AZ112" s="140"/>
      <c r="BA112" s="140"/>
      <c r="BB112" s="140"/>
      <c r="BC112" s="140"/>
      <c r="BD112" s="140"/>
      <c r="BE112" s="140"/>
    </row>
    <row r="113" s="119" customFormat="1" ht="96" customHeight="1" outlineLevel="2" spans="1:57">
      <c r="A113" s="162">
        <f>1+N(A112)</f>
        <v>1</v>
      </c>
      <c r="B113" s="14" t="s">
        <v>61</v>
      </c>
      <c r="C113" s="15" t="s">
        <v>62</v>
      </c>
      <c r="D113" s="142" t="s">
        <v>63</v>
      </c>
      <c r="E113" s="143">
        <v>0.35</v>
      </c>
      <c r="F113" s="143">
        <f>$F$7</f>
        <v>130</v>
      </c>
      <c r="G113" s="143">
        <f>$G$7</f>
        <v>628.3</v>
      </c>
      <c r="H113" s="17">
        <f>$H$7</f>
        <v>47.7</v>
      </c>
      <c r="I113" s="17">
        <f>(F113+G113+H113)*$I$3</f>
        <v>80.6</v>
      </c>
      <c r="J113" s="18">
        <f>ROUND(SUM(F113:I113),2)</f>
        <v>886.6</v>
      </c>
      <c r="K113" s="19">
        <f>ROUND(J113*E113,2)</f>
        <v>310.31</v>
      </c>
      <c r="L113" s="135"/>
      <c r="M113" s="139">
        <v>1</v>
      </c>
      <c r="N113" s="139"/>
      <c r="O113" s="139"/>
      <c r="P113" s="37">
        <f>Q113+Q113*R113+S113+T113+U113</f>
        <v>806</v>
      </c>
      <c r="Q113" s="99">
        <f>$Q$7</f>
        <v>610</v>
      </c>
      <c r="R113" s="163">
        <f>$R$7</f>
        <v>0.03</v>
      </c>
      <c r="S113" s="99">
        <f>$S$7</f>
        <v>130</v>
      </c>
      <c r="T113" s="99">
        <f>$T$7</f>
        <v>46.2</v>
      </c>
      <c r="U113" s="99">
        <f>$U$7</f>
        <v>1.5</v>
      </c>
      <c r="V113" s="37">
        <f>P113*E113</f>
        <v>282.1</v>
      </c>
      <c r="W113" s="139"/>
      <c r="X113" s="139"/>
      <c r="Y113" s="139"/>
      <c r="Z113" s="139"/>
      <c r="AA113" s="139"/>
      <c r="AB113" s="139"/>
      <c r="AC113" s="139"/>
      <c r="AD113" s="139"/>
      <c r="AE113" s="139"/>
      <c r="AF113" s="140"/>
      <c r="AG113" s="140"/>
      <c r="AH113" s="140"/>
      <c r="AI113" s="140"/>
      <c r="AJ113" s="140"/>
      <c r="AK113" s="140"/>
      <c r="AL113" s="140"/>
      <c r="AM113" s="140"/>
      <c r="AN113" s="140"/>
      <c r="AO113" s="140"/>
      <c r="AP113" s="140"/>
      <c r="AQ113" s="140"/>
      <c r="AR113" s="140"/>
      <c r="AS113" s="140"/>
      <c r="AT113" s="140"/>
      <c r="AU113" s="140"/>
      <c r="AV113" s="140"/>
      <c r="AW113" s="140"/>
      <c r="AX113" s="140"/>
      <c r="AY113" s="140"/>
      <c r="AZ113" s="140"/>
      <c r="BA113" s="140"/>
      <c r="BB113" s="140"/>
      <c r="BC113" s="140"/>
      <c r="BD113" s="140"/>
      <c r="BE113" s="140"/>
    </row>
    <row r="114" s="119" customFormat="1" ht="96" customHeight="1" outlineLevel="2" spans="1:57">
      <c r="A114" s="162">
        <f>1+N(A113)</f>
        <v>2</v>
      </c>
      <c r="B114" s="14" t="s">
        <v>66</v>
      </c>
      <c r="C114" s="15" t="s">
        <v>67</v>
      </c>
      <c r="D114" s="142" t="s">
        <v>63</v>
      </c>
      <c r="E114" s="143">
        <v>22.55</v>
      </c>
      <c r="F114" s="143">
        <f>$F$9</f>
        <v>77</v>
      </c>
      <c r="G114" s="143">
        <f>$G$9</f>
        <v>56.65</v>
      </c>
      <c r="H114" s="17">
        <f>$H$9</f>
        <v>50.6</v>
      </c>
      <c r="I114" s="17">
        <f>(F114+G114+H114)*$I$3</f>
        <v>18.425</v>
      </c>
      <c r="J114" s="18">
        <f>ROUND(SUM(F114:I114),2)</f>
        <v>202.68</v>
      </c>
      <c r="K114" s="19">
        <f>ROUND(J114*E114,2)</f>
        <v>4570.43</v>
      </c>
      <c r="L114" s="135"/>
      <c r="M114" s="139">
        <v>1</v>
      </c>
      <c r="N114" s="139"/>
      <c r="O114" s="139"/>
      <c r="P114" s="37">
        <f>Q114+Q114*R114+S114+T114+U114</f>
        <v>184.25</v>
      </c>
      <c r="Q114" s="99">
        <f>$Q$9</f>
        <v>55</v>
      </c>
      <c r="R114" s="163">
        <f>$R$9</f>
        <v>0.03</v>
      </c>
      <c r="S114" s="99">
        <f>$S$9</f>
        <v>77</v>
      </c>
      <c r="T114" s="99">
        <f>$T$9</f>
        <v>50.1</v>
      </c>
      <c r="U114" s="99">
        <f>$U$9</f>
        <v>0.5</v>
      </c>
      <c r="V114" s="37">
        <f>P114*E114</f>
        <v>4154.8375</v>
      </c>
      <c r="W114" s="139"/>
      <c r="X114" s="139"/>
      <c r="Y114" s="139"/>
      <c r="Z114" s="139"/>
      <c r="AA114" s="139"/>
      <c r="AB114" s="139"/>
      <c r="AC114" s="139"/>
      <c r="AD114" s="139"/>
      <c r="AE114" s="139"/>
      <c r="AF114" s="140"/>
      <c r="AG114" s="140"/>
      <c r="AH114" s="140"/>
      <c r="AI114" s="140"/>
      <c r="AJ114" s="140"/>
      <c r="AK114" s="140"/>
      <c r="AL114" s="140"/>
      <c r="AM114" s="140"/>
      <c r="AN114" s="140"/>
      <c r="AO114" s="140"/>
      <c r="AP114" s="140"/>
      <c r="AQ114" s="140"/>
      <c r="AR114" s="140"/>
      <c r="AS114" s="140"/>
      <c r="AT114" s="140"/>
      <c r="AU114" s="140"/>
      <c r="AV114" s="140"/>
      <c r="AW114" s="140"/>
      <c r="AX114" s="140"/>
      <c r="AY114" s="140"/>
      <c r="AZ114" s="140"/>
      <c r="BA114" s="140"/>
      <c r="BB114" s="140"/>
      <c r="BC114" s="140"/>
      <c r="BD114" s="140"/>
      <c r="BE114" s="140"/>
    </row>
    <row r="115" s="119" customFormat="1" ht="48" customHeight="1" outlineLevel="2" spans="1:57">
      <c r="A115" s="162">
        <f>1+N(A114)</f>
        <v>3</v>
      </c>
      <c r="B115" s="14" t="s">
        <v>71</v>
      </c>
      <c r="C115" s="15" t="s">
        <v>72</v>
      </c>
      <c r="D115" s="142" t="s">
        <v>63</v>
      </c>
      <c r="E115" s="143">
        <v>0.35</v>
      </c>
      <c r="F115" s="143">
        <f>$F$11</f>
        <v>40</v>
      </c>
      <c r="G115" s="143">
        <f>$G$11</f>
        <v>15</v>
      </c>
      <c r="H115" s="143">
        <f>$H$11</f>
        <v>0.8</v>
      </c>
      <c r="I115" s="17">
        <f>(F115+G115+H115)*$I$3</f>
        <v>5.58</v>
      </c>
      <c r="J115" s="18">
        <f>ROUND(SUM(F115:I115),2)</f>
        <v>61.38</v>
      </c>
      <c r="K115" s="19">
        <f>ROUND(J115*E115,2)</f>
        <v>21.48</v>
      </c>
      <c r="L115" s="135"/>
      <c r="M115" s="139">
        <v>1</v>
      </c>
      <c r="N115" s="139"/>
      <c r="O115" s="139"/>
      <c r="P115" s="37">
        <f>Q115+Q115*R115+S115+T115+U115</f>
        <v>55.8</v>
      </c>
      <c r="Q115" s="99">
        <f>$Q$11</f>
        <v>15</v>
      </c>
      <c r="R115" s="163">
        <f>$R$11</f>
        <v>0</v>
      </c>
      <c r="S115" s="99">
        <f>$S$11</f>
        <v>40</v>
      </c>
      <c r="T115" s="99">
        <f>$T$11</f>
        <v>0.5</v>
      </c>
      <c r="U115" s="99">
        <f>$U$11</f>
        <v>0.3</v>
      </c>
      <c r="V115" s="37">
        <f>P115*E115</f>
        <v>19.53</v>
      </c>
      <c r="W115" s="139"/>
      <c r="X115" s="139"/>
      <c r="Y115" s="139"/>
      <c r="Z115" s="139"/>
      <c r="AA115" s="139"/>
      <c r="AB115" s="139"/>
      <c r="AC115" s="139"/>
      <c r="AD115" s="139"/>
      <c r="AE115" s="139"/>
      <c r="AF115" s="140"/>
      <c r="AG115" s="140"/>
      <c r="AH115" s="140"/>
      <c r="AI115" s="140"/>
      <c r="AJ115" s="140"/>
      <c r="AK115" s="140"/>
      <c r="AL115" s="140"/>
      <c r="AM115" s="140"/>
      <c r="AN115" s="140"/>
      <c r="AO115" s="140"/>
      <c r="AP115" s="140"/>
      <c r="AQ115" s="140"/>
      <c r="AR115" s="140"/>
      <c r="AS115" s="140"/>
      <c r="AT115" s="140"/>
      <c r="AU115" s="140"/>
      <c r="AV115" s="140"/>
      <c r="AW115" s="140"/>
      <c r="AX115" s="140"/>
      <c r="AY115" s="140"/>
      <c r="AZ115" s="140"/>
      <c r="BA115" s="140"/>
      <c r="BB115" s="140"/>
      <c r="BC115" s="140"/>
      <c r="BD115" s="140"/>
      <c r="BE115" s="140"/>
    </row>
    <row r="116" s="119" customFormat="1" ht="24" customHeight="1" outlineLevel="1" spans="1:57">
      <c r="A116" s="141"/>
      <c r="B116" s="14" t="s">
        <v>73</v>
      </c>
      <c r="C116" s="15"/>
      <c r="D116" s="142"/>
      <c r="E116" s="143"/>
      <c r="F116" s="143"/>
      <c r="G116" s="143"/>
      <c r="H116" s="143"/>
      <c r="I116" s="143"/>
      <c r="J116" s="143"/>
      <c r="K116" s="144"/>
      <c r="L116" s="135"/>
      <c r="M116" s="139"/>
      <c r="N116" s="139"/>
      <c r="O116" s="139"/>
      <c r="P116" s="137"/>
      <c r="Q116" s="137"/>
      <c r="R116" s="138"/>
      <c r="S116" s="137"/>
      <c r="T116" s="137"/>
      <c r="U116" s="137"/>
      <c r="V116" s="137"/>
      <c r="W116" s="139"/>
      <c r="X116" s="139"/>
      <c r="Y116" s="139"/>
      <c r="Z116" s="139"/>
      <c r="AA116" s="139"/>
      <c r="AB116" s="139"/>
      <c r="AC116" s="139"/>
      <c r="AD116" s="139"/>
      <c r="AE116" s="139"/>
      <c r="AF116" s="140"/>
      <c r="AG116" s="140"/>
      <c r="AH116" s="140"/>
      <c r="AI116" s="140"/>
      <c r="AJ116" s="140"/>
      <c r="AK116" s="140"/>
      <c r="AL116" s="140"/>
      <c r="AM116" s="140"/>
      <c r="AN116" s="140"/>
      <c r="AO116" s="140"/>
      <c r="AP116" s="140"/>
      <c r="AQ116" s="140"/>
      <c r="AR116" s="140"/>
      <c r="AS116" s="140"/>
      <c r="AT116" s="140"/>
      <c r="AU116" s="140"/>
      <c r="AV116" s="140"/>
      <c r="AW116" s="140"/>
      <c r="AX116" s="140"/>
      <c r="AY116" s="140"/>
      <c r="AZ116" s="140"/>
      <c r="BA116" s="140"/>
      <c r="BB116" s="140"/>
      <c r="BC116" s="140"/>
      <c r="BD116" s="140"/>
      <c r="BE116" s="140"/>
    </row>
    <row r="117" s="119" customFormat="1" ht="72" customHeight="1" outlineLevel="2" spans="1:57">
      <c r="A117" s="162">
        <f>1+N(A116)</f>
        <v>1</v>
      </c>
      <c r="B117" s="165" t="s">
        <v>80</v>
      </c>
      <c r="C117" s="166" t="s">
        <v>81</v>
      </c>
      <c r="D117" s="165" t="s">
        <v>63</v>
      </c>
      <c r="E117" s="143">
        <f>69.386+1*(3-2)</f>
        <v>70.386</v>
      </c>
      <c r="F117" s="143">
        <f>$F$16</f>
        <v>91.5</v>
      </c>
      <c r="G117" s="143">
        <f>$G$16</f>
        <v>5.555</v>
      </c>
      <c r="H117" s="143">
        <f>$H$16</f>
        <v>56.797</v>
      </c>
      <c r="I117" s="17">
        <f>(F117+G117+H117)*$I$3</f>
        <v>15.3852</v>
      </c>
      <c r="J117" s="18">
        <f>ROUND(SUM(F117:I117),2)</f>
        <v>169.24</v>
      </c>
      <c r="K117" s="19">
        <f>ROUND(J117*E117,2)</f>
        <v>11912.13</v>
      </c>
      <c r="L117" s="135"/>
      <c r="M117" s="139">
        <v>1</v>
      </c>
      <c r="N117" s="139"/>
      <c r="O117" s="139"/>
      <c r="P117" s="37">
        <f>Q117+Q117*R117+S117+T117+U117</f>
        <v>153.852</v>
      </c>
      <c r="Q117" s="99">
        <f>$Q$16</f>
        <v>5.5</v>
      </c>
      <c r="R117" s="163">
        <f>$R$16</f>
        <v>0.01</v>
      </c>
      <c r="S117" s="99">
        <f>$S$16</f>
        <v>91.5</v>
      </c>
      <c r="T117" s="99">
        <f>$T$16</f>
        <v>55.997</v>
      </c>
      <c r="U117" s="99">
        <f>$U$16</f>
        <v>0.8</v>
      </c>
      <c r="V117" s="37">
        <f>P117*E117</f>
        <v>10829.026872</v>
      </c>
      <c r="W117" s="139"/>
      <c r="X117" s="139"/>
      <c r="Y117" s="139"/>
      <c r="Z117" s="139"/>
      <c r="AA117" s="139"/>
      <c r="AB117" s="139"/>
      <c r="AC117" s="139"/>
      <c r="AD117" s="139"/>
      <c r="AE117" s="139"/>
      <c r="AF117" s="140"/>
      <c r="AG117" s="140"/>
      <c r="AH117" s="140"/>
      <c r="AI117" s="140"/>
      <c r="AJ117" s="140"/>
      <c r="AK117" s="140"/>
      <c r="AL117" s="140"/>
      <c r="AM117" s="140"/>
      <c r="AN117" s="140"/>
      <c r="AO117" s="140"/>
      <c r="AP117" s="140"/>
      <c r="AQ117" s="140"/>
      <c r="AR117" s="140"/>
      <c r="AS117" s="140"/>
      <c r="AT117" s="140"/>
      <c r="AU117" s="140"/>
      <c r="AV117" s="140"/>
      <c r="AW117" s="140"/>
      <c r="AX117" s="140"/>
      <c r="AY117" s="140"/>
      <c r="AZ117" s="140"/>
      <c r="BA117" s="140"/>
      <c r="BB117" s="140"/>
      <c r="BC117" s="140"/>
      <c r="BD117" s="140"/>
      <c r="BE117" s="140"/>
    </row>
    <row r="118" s="119" customFormat="1" ht="48" customHeight="1" outlineLevel="2" spans="1:57">
      <c r="A118" s="145">
        <f>1+N(A117)</f>
        <v>2</v>
      </c>
      <c r="B118" s="159" t="s">
        <v>144</v>
      </c>
      <c r="C118" s="160" t="s">
        <v>83</v>
      </c>
      <c r="D118" s="159" t="s">
        <v>63</v>
      </c>
      <c r="E118" s="149">
        <f>0.33*3*2+0.98*0.3</f>
        <v>2.274</v>
      </c>
      <c r="F118" s="149">
        <f>S118*$S$1</f>
        <v>110</v>
      </c>
      <c r="G118" s="149">
        <f>Q118*(1+R118)*$Q$1</f>
        <v>454.5</v>
      </c>
      <c r="H118" s="149">
        <f>(T118+U118)*$T$1</f>
        <v>55.2</v>
      </c>
      <c r="I118" s="150">
        <f>(F118+G118+H118)*$I$3</f>
        <v>61.97</v>
      </c>
      <c r="J118" s="151">
        <f>ROUND(SUM(F118:I118),2)</f>
        <v>681.67</v>
      </c>
      <c r="K118" s="152">
        <f>ROUND(J118*E118,2)</f>
        <v>1550.12</v>
      </c>
      <c r="L118" s="153"/>
      <c r="M118" s="139">
        <v>1</v>
      </c>
      <c r="N118" s="139"/>
      <c r="O118" s="139"/>
      <c r="P118" s="37">
        <f>Q118+Q118*R118+S118+T118+U118</f>
        <v>619.7</v>
      </c>
      <c r="Q118" s="71">
        <v>450</v>
      </c>
      <c r="R118" s="157">
        <v>0.01</v>
      </c>
      <c r="S118" s="71">
        <v>110</v>
      </c>
      <c r="T118" s="71">
        <v>54</v>
      </c>
      <c r="U118" s="71">
        <v>1.2</v>
      </c>
      <c r="V118" s="37">
        <f>P118*E118</f>
        <v>1409.1978</v>
      </c>
      <c r="W118" s="139"/>
      <c r="X118" s="139"/>
      <c r="Y118" s="139"/>
      <c r="Z118" s="139"/>
      <c r="AA118" s="139"/>
      <c r="AB118" s="139"/>
      <c r="AC118" s="139"/>
      <c r="AD118" s="139"/>
      <c r="AE118" s="139"/>
      <c r="AF118" s="140"/>
      <c r="AG118" s="140"/>
      <c r="AH118" s="140"/>
      <c r="AI118" s="140"/>
      <c r="AJ118" s="140"/>
      <c r="AK118" s="140"/>
      <c r="AL118" s="140"/>
      <c r="AM118" s="140"/>
      <c r="AN118" s="140"/>
      <c r="AO118" s="140"/>
      <c r="AP118" s="140"/>
      <c r="AQ118" s="140"/>
      <c r="AR118" s="140"/>
      <c r="AS118" s="140"/>
      <c r="AT118" s="140"/>
      <c r="AU118" s="140"/>
      <c r="AV118" s="140"/>
      <c r="AW118" s="140"/>
      <c r="AX118" s="140"/>
      <c r="AY118" s="140"/>
      <c r="AZ118" s="140"/>
      <c r="BA118" s="140"/>
      <c r="BB118" s="140"/>
      <c r="BC118" s="140"/>
      <c r="BD118" s="140"/>
      <c r="BE118" s="140"/>
    </row>
    <row r="119" s="119" customFormat="1" ht="60" customHeight="1" outlineLevel="2" spans="1:57">
      <c r="A119" s="162">
        <f>1+N(A118)</f>
        <v>3</v>
      </c>
      <c r="B119" s="165" t="s">
        <v>89</v>
      </c>
      <c r="C119" s="166" t="s">
        <v>90</v>
      </c>
      <c r="D119" s="165" t="s">
        <v>63</v>
      </c>
      <c r="E119" s="143">
        <v>1.176</v>
      </c>
      <c r="F119" s="143">
        <f>$F$21</f>
        <v>120</v>
      </c>
      <c r="G119" s="143">
        <f>$G$21</f>
        <v>110.25</v>
      </c>
      <c r="H119" s="143">
        <f>$H$21</f>
        <v>17</v>
      </c>
      <c r="I119" s="17">
        <f>(F119+G119+H119)*$I$3</f>
        <v>24.725</v>
      </c>
      <c r="J119" s="18">
        <f>ROUND(SUM(F119:I119),2)</f>
        <v>271.98</v>
      </c>
      <c r="K119" s="19">
        <f>ROUND(J119*E119,2)</f>
        <v>319.85</v>
      </c>
      <c r="L119" s="135"/>
      <c r="M119" s="139">
        <v>1</v>
      </c>
      <c r="N119" s="139"/>
      <c r="O119" s="139"/>
      <c r="P119" s="37">
        <f>Q119+Q119*R119+S119+T119+U119</f>
        <v>247.25</v>
      </c>
      <c r="Q119" s="99">
        <f>$Q$21</f>
        <v>105</v>
      </c>
      <c r="R119" s="163">
        <f>$R$21</f>
        <v>0.05</v>
      </c>
      <c r="S119" s="99">
        <f>$S$21</f>
        <v>120</v>
      </c>
      <c r="T119" s="99">
        <f>$T$21</f>
        <v>16.5</v>
      </c>
      <c r="U119" s="99">
        <f>$U$21</f>
        <v>0.5</v>
      </c>
      <c r="V119" s="37">
        <f>P119*E119</f>
        <v>290.766</v>
      </c>
      <c r="W119" s="139"/>
      <c r="X119" s="139"/>
      <c r="Y119" s="139"/>
      <c r="Z119" s="139"/>
      <c r="AA119" s="139"/>
      <c r="AB119" s="139"/>
      <c r="AC119" s="139"/>
      <c r="AD119" s="139"/>
      <c r="AE119" s="139"/>
      <c r="AF119" s="140"/>
      <c r="AG119" s="140"/>
      <c r="AH119" s="140"/>
      <c r="AI119" s="140"/>
      <c r="AJ119" s="140"/>
      <c r="AK119" s="140"/>
      <c r="AL119" s="140"/>
      <c r="AM119" s="140"/>
      <c r="AN119" s="140"/>
      <c r="AO119" s="140"/>
      <c r="AP119" s="140"/>
      <c r="AQ119" s="140"/>
      <c r="AR119" s="140"/>
      <c r="AS119" s="140"/>
      <c r="AT119" s="140"/>
      <c r="AU119" s="140"/>
      <c r="AV119" s="140"/>
      <c r="AW119" s="140"/>
      <c r="AX119" s="140"/>
      <c r="AY119" s="140"/>
      <c r="AZ119" s="140"/>
      <c r="BA119" s="140"/>
      <c r="BB119" s="140"/>
      <c r="BC119" s="140"/>
      <c r="BD119" s="140"/>
      <c r="BE119" s="140"/>
    </row>
    <row r="120" s="119" customFormat="1" ht="24" customHeight="1" outlineLevel="1" spans="1:57">
      <c r="A120" s="141"/>
      <c r="B120" s="14" t="s">
        <v>101</v>
      </c>
      <c r="C120" s="15"/>
      <c r="D120" s="142"/>
      <c r="E120" s="143"/>
      <c r="F120" s="143"/>
      <c r="G120" s="143"/>
      <c r="H120" s="143"/>
      <c r="I120" s="143"/>
      <c r="J120" s="143"/>
      <c r="K120" s="144"/>
      <c r="L120" s="135"/>
      <c r="M120" s="139"/>
      <c r="N120" s="139"/>
      <c r="O120" s="139"/>
      <c r="P120" s="137"/>
      <c r="Q120" s="137"/>
      <c r="R120" s="138"/>
      <c r="S120" s="137"/>
      <c r="T120" s="137"/>
      <c r="U120" s="137"/>
      <c r="V120" s="137"/>
      <c r="W120" s="139"/>
      <c r="X120" s="139"/>
      <c r="Y120" s="139"/>
      <c r="Z120" s="139"/>
      <c r="AA120" s="139"/>
      <c r="AB120" s="139"/>
      <c r="AC120" s="139"/>
      <c r="AD120" s="139"/>
      <c r="AE120" s="139"/>
      <c r="AF120" s="140"/>
      <c r="AG120" s="140"/>
      <c r="AH120" s="140"/>
      <c r="AI120" s="140"/>
      <c r="AJ120" s="140"/>
      <c r="AK120" s="140"/>
      <c r="AL120" s="140"/>
      <c r="AM120" s="140"/>
      <c r="AN120" s="140"/>
      <c r="AO120" s="140"/>
      <c r="AP120" s="140"/>
      <c r="AQ120" s="140"/>
      <c r="AR120" s="140"/>
      <c r="AS120" s="140"/>
      <c r="AT120" s="140"/>
      <c r="AU120" s="140"/>
      <c r="AV120" s="140"/>
      <c r="AW120" s="140"/>
      <c r="AX120" s="140"/>
      <c r="AY120" s="140"/>
      <c r="AZ120" s="140"/>
      <c r="BA120" s="140"/>
      <c r="BB120" s="140"/>
      <c r="BC120" s="140"/>
      <c r="BD120" s="140"/>
      <c r="BE120" s="140"/>
    </row>
    <row r="121" s="119" customFormat="1" ht="96" customHeight="1" outlineLevel="2" spans="1:57">
      <c r="A121" s="162">
        <f>1+N(A120)</f>
        <v>1</v>
      </c>
      <c r="B121" s="14" t="s">
        <v>102</v>
      </c>
      <c r="C121" s="167" t="s">
        <v>103</v>
      </c>
      <c r="D121" s="142" t="s">
        <v>63</v>
      </c>
      <c r="E121" s="143">
        <v>22.55</v>
      </c>
      <c r="F121" s="143">
        <f>$F$28</f>
        <v>70</v>
      </c>
      <c r="G121" s="143">
        <f>$G$28</f>
        <v>0</v>
      </c>
      <c r="H121" s="143">
        <f>$H$28</f>
        <v>66.711</v>
      </c>
      <c r="I121" s="17">
        <f>(F121+G121+H121)*$I$3</f>
        <v>13.6711</v>
      </c>
      <c r="J121" s="18">
        <f>ROUND(SUM(F121:I121),2)</f>
        <v>150.38</v>
      </c>
      <c r="K121" s="19">
        <f>ROUND(J121*E121,2)</f>
        <v>3391.07</v>
      </c>
      <c r="L121" s="135"/>
      <c r="M121" s="139">
        <v>1</v>
      </c>
      <c r="N121" s="139"/>
      <c r="O121" s="139"/>
      <c r="P121" s="37">
        <f>Q121+Q121*R121+S121+T121+U121</f>
        <v>136.711</v>
      </c>
      <c r="Q121" s="99">
        <f>$Q$28</f>
        <v>0</v>
      </c>
      <c r="R121" s="163">
        <f>$R$28</f>
        <v>0.01</v>
      </c>
      <c r="S121" s="99">
        <f>$S$28</f>
        <v>70</v>
      </c>
      <c r="T121" s="99">
        <f>$T$28</f>
        <v>64.711</v>
      </c>
      <c r="U121" s="99">
        <f>$U$28</f>
        <v>2</v>
      </c>
      <c r="V121" s="37">
        <f>P121*E121</f>
        <v>3082.83305</v>
      </c>
      <c r="W121" s="139"/>
      <c r="X121" s="139"/>
      <c r="Y121" s="139"/>
      <c r="Z121" s="139"/>
      <c r="AA121" s="139"/>
      <c r="AB121" s="139"/>
      <c r="AC121" s="139"/>
      <c r="AD121" s="139"/>
      <c r="AE121" s="139"/>
      <c r="AF121" s="140"/>
      <c r="AG121" s="140"/>
      <c r="AH121" s="140"/>
      <c r="AI121" s="140"/>
      <c r="AJ121" s="140"/>
      <c r="AK121" s="140"/>
      <c r="AL121" s="140"/>
      <c r="AM121" s="140"/>
      <c r="AN121" s="140"/>
      <c r="AO121" s="140"/>
      <c r="AP121" s="140"/>
      <c r="AQ121" s="140"/>
      <c r="AR121" s="140"/>
      <c r="AS121" s="140"/>
      <c r="AT121" s="140"/>
      <c r="AU121" s="140"/>
      <c r="AV121" s="140"/>
      <c r="AW121" s="140"/>
      <c r="AX121" s="140"/>
      <c r="AY121" s="140"/>
      <c r="AZ121" s="140"/>
      <c r="BA121" s="140"/>
      <c r="BB121" s="140"/>
      <c r="BC121" s="140"/>
      <c r="BD121" s="140"/>
      <c r="BE121" s="140"/>
    </row>
    <row r="122" s="119" customFormat="1" ht="72" customHeight="1" outlineLevel="2" spans="1:57">
      <c r="A122" s="145">
        <f>1+N(A121)</f>
        <v>2</v>
      </c>
      <c r="B122" s="146" t="s">
        <v>145</v>
      </c>
      <c r="C122" s="161" t="s">
        <v>146</v>
      </c>
      <c r="D122" s="148" t="s">
        <v>63</v>
      </c>
      <c r="E122" s="149">
        <v>13.55</v>
      </c>
      <c r="F122" s="149">
        <f>S122*$S$1</f>
        <v>28.5</v>
      </c>
      <c r="G122" s="149">
        <f>Q122*(1+R122)*$Q$1</f>
        <v>5.5</v>
      </c>
      <c r="H122" s="149">
        <f>(T122+U122)*$T$1</f>
        <v>6.8</v>
      </c>
      <c r="I122" s="150">
        <f>(F122+G122+H122)*$I$3</f>
        <v>4.08</v>
      </c>
      <c r="J122" s="151">
        <f>ROUND(SUM(F122:I122),2)</f>
        <v>44.88</v>
      </c>
      <c r="K122" s="152">
        <f>ROUND(J122*E122,2)</f>
        <v>608.12</v>
      </c>
      <c r="L122" s="153"/>
      <c r="M122" s="139">
        <v>1</v>
      </c>
      <c r="N122" s="139"/>
      <c r="O122" s="139"/>
      <c r="P122" s="37">
        <f>Q122+Q122*R122+S122+T122+U122</f>
        <v>40.8</v>
      </c>
      <c r="Q122" s="71">
        <v>5.5</v>
      </c>
      <c r="R122" s="157">
        <v>0</v>
      </c>
      <c r="S122" s="71">
        <v>28.5</v>
      </c>
      <c r="T122" s="71">
        <v>6.5</v>
      </c>
      <c r="U122" s="71">
        <v>0.3</v>
      </c>
      <c r="V122" s="37">
        <f>P122*E122</f>
        <v>552.84</v>
      </c>
      <c r="W122" s="139"/>
      <c r="X122" s="139"/>
      <c r="Y122" s="139"/>
      <c r="Z122" s="139"/>
      <c r="AA122" s="139"/>
      <c r="AB122" s="139"/>
      <c r="AC122" s="139"/>
      <c r="AD122" s="139"/>
      <c r="AE122" s="139"/>
      <c r="AF122" s="140"/>
      <c r="AG122" s="140"/>
      <c r="AH122" s="140"/>
      <c r="AI122" s="140"/>
      <c r="AJ122" s="140"/>
      <c r="AK122" s="140"/>
      <c r="AL122" s="140"/>
      <c r="AM122" s="140"/>
      <c r="AN122" s="140"/>
      <c r="AO122" s="140"/>
      <c r="AP122" s="140"/>
      <c r="AQ122" s="140"/>
      <c r="AR122" s="140"/>
      <c r="AS122" s="140"/>
      <c r="AT122" s="140"/>
      <c r="AU122" s="140"/>
      <c r="AV122" s="140"/>
      <c r="AW122" s="140"/>
      <c r="AX122" s="140"/>
      <c r="AY122" s="140"/>
      <c r="AZ122" s="140"/>
      <c r="BA122" s="140"/>
      <c r="BB122" s="140"/>
      <c r="BC122" s="140"/>
      <c r="BD122" s="140"/>
      <c r="BE122" s="140"/>
    </row>
    <row r="123" s="119" customFormat="1" ht="72" customHeight="1" outlineLevel="2" spans="1:57">
      <c r="A123" s="162">
        <f>1+N(A122)</f>
        <v>3</v>
      </c>
      <c r="B123" s="14" t="s">
        <v>108</v>
      </c>
      <c r="C123" s="15" t="s">
        <v>109</v>
      </c>
      <c r="D123" s="142" t="s">
        <v>70</v>
      </c>
      <c r="E123" s="143">
        <f>1.2*2*1</f>
        <v>2.4</v>
      </c>
      <c r="F123" s="143">
        <f>$F$31</f>
        <v>30</v>
      </c>
      <c r="G123" s="143">
        <f>$G$31</f>
        <v>65.6625</v>
      </c>
      <c r="H123" s="143">
        <f>$H$31</f>
        <v>2.7</v>
      </c>
      <c r="I123" s="17">
        <f>(F123+G123+H123)*$I$3</f>
        <v>9.83625</v>
      </c>
      <c r="J123" s="18">
        <f>ROUND(SUM(F123:I123),2)</f>
        <v>108.2</v>
      </c>
      <c r="K123" s="19">
        <f>ROUND(J123*E123,2)</f>
        <v>259.68</v>
      </c>
      <c r="L123" s="135"/>
      <c r="M123" s="139">
        <v>1</v>
      </c>
      <c r="N123" s="139"/>
      <c r="O123" s="139"/>
      <c r="P123" s="37">
        <f>Q123+Q123*R123+S123+T123+U123</f>
        <v>98.3625</v>
      </c>
      <c r="Q123" s="99">
        <f>$Q$31</f>
        <v>63.75</v>
      </c>
      <c r="R123" s="163">
        <f>$R$31</f>
        <v>0.03</v>
      </c>
      <c r="S123" s="99">
        <f>$S$31</f>
        <v>30</v>
      </c>
      <c r="T123" s="99">
        <f>$T$31</f>
        <v>2.5</v>
      </c>
      <c r="U123" s="99">
        <f>$U$31</f>
        <v>0.2</v>
      </c>
      <c r="V123" s="37">
        <f>P123*E123</f>
        <v>236.07</v>
      </c>
      <c r="W123" s="139"/>
      <c r="X123" s="139"/>
      <c r="Y123" s="139"/>
      <c r="Z123" s="139"/>
      <c r="AA123" s="139"/>
      <c r="AB123" s="139"/>
      <c r="AC123" s="139"/>
      <c r="AD123" s="139"/>
      <c r="AE123" s="139"/>
      <c r="AF123" s="140"/>
      <c r="AG123" s="140"/>
      <c r="AH123" s="140"/>
      <c r="AI123" s="140"/>
      <c r="AJ123" s="140"/>
      <c r="AK123" s="140"/>
      <c r="AL123" s="140"/>
      <c r="AM123" s="140"/>
      <c r="AN123" s="140"/>
      <c r="AO123" s="140"/>
      <c r="AP123" s="140"/>
      <c r="AQ123" s="140"/>
      <c r="AR123" s="140"/>
      <c r="AS123" s="140"/>
      <c r="AT123" s="140"/>
      <c r="AU123" s="140"/>
      <c r="AV123" s="140"/>
      <c r="AW123" s="140"/>
      <c r="AX123" s="140"/>
      <c r="AY123" s="140"/>
      <c r="AZ123" s="140"/>
      <c r="BA123" s="140"/>
      <c r="BB123" s="140"/>
      <c r="BC123" s="140"/>
      <c r="BD123" s="140"/>
      <c r="BE123" s="140"/>
    </row>
    <row r="124" s="119" customFormat="1" ht="24" customHeight="1" outlineLevel="1" spans="1:57">
      <c r="A124" s="141"/>
      <c r="B124" s="14" t="s">
        <v>112</v>
      </c>
      <c r="C124" s="15"/>
      <c r="D124" s="142"/>
      <c r="E124" s="143"/>
      <c r="F124" s="143"/>
      <c r="G124" s="143"/>
      <c r="H124" s="143"/>
      <c r="I124" s="143"/>
      <c r="J124" s="143"/>
      <c r="K124" s="144"/>
      <c r="L124" s="135"/>
      <c r="M124" s="139"/>
      <c r="N124" s="139"/>
      <c r="O124" s="139"/>
      <c r="P124" s="137"/>
      <c r="Q124" s="137"/>
      <c r="R124" s="138"/>
      <c r="S124" s="137"/>
      <c r="T124" s="137"/>
      <c r="U124" s="137"/>
      <c r="V124" s="137"/>
      <c r="W124" s="139"/>
      <c r="X124" s="139"/>
      <c r="Y124" s="139"/>
      <c r="Z124" s="139"/>
      <c r="AA124" s="139"/>
      <c r="AB124" s="139"/>
      <c r="AC124" s="139"/>
      <c r="AD124" s="139"/>
      <c r="AE124" s="139"/>
      <c r="AF124" s="140"/>
      <c r="AG124" s="140"/>
      <c r="AH124" s="140"/>
      <c r="AI124" s="140"/>
      <c r="AJ124" s="140"/>
      <c r="AK124" s="140"/>
      <c r="AL124" s="140"/>
      <c r="AM124" s="140"/>
      <c r="AN124" s="140"/>
      <c r="AO124" s="140"/>
      <c r="AP124" s="140"/>
      <c r="AQ124" s="140"/>
      <c r="AR124" s="140"/>
      <c r="AS124" s="140"/>
      <c r="AT124" s="140"/>
      <c r="AU124" s="140"/>
      <c r="AV124" s="140"/>
      <c r="AW124" s="140"/>
      <c r="AX124" s="140"/>
      <c r="AY124" s="140"/>
      <c r="AZ124" s="140"/>
      <c r="BA124" s="140"/>
      <c r="BB124" s="140"/>
      <c r="BC124" s="140"/>
      <c r="BD124" s="140"/>
      <c r="BE124" s="140"/>
    </row>
    <row r="125" s="119" customFormat="1" ht="72" customHeight="1" outlineLevel="2" spans="1:57">
      <c r="A125" s="172">
        <v>1</v>
      </c>
      <c r="B125" s="146" t="s">
        <v>147</v>
      </c>
      <c r="C125" s="147" t="s">
        <v>148</v>
      </c>
      <c r="D125" s="148" t="s">
        <v>63</v>
      </c>
      <c r="E125" s="149">
        <f>1*3</f>
        <v>3</v>
      </c>
      <c r="F125" s="149">
        <f>S125*$S$1</f>
        <v>145</v>
      </c>
      <c r="G125" s="149">
        <f>Q125*(1+R125)*$Q$1</f>
        <v>1750</v>
      </c>
      <c r="H125" s="149">
        <f>(T125+U125)*$T$1</f>
        <v>31.5</v>
      </c>
      <c r="I125" s="150">
        <f>(F125+G125+H125)*10%</f>
        <v>192.65</v>
      </c>
      <c r="J125" s="151">
        <f>ROUND(SUM(F125:I125),2)</f>
        <v>2119.15</v>
      </c>
      <c r="K125" s="152">
        <f>ROUND(J125*E125,2)</f>
        <v>6357.45</v>
      </c>
      <c r="L125" s="153"/>
      <c r="M125" s="139">
        <v>1</v>
      </c>
      <c r="N125" s="139"/>
      <c r="O125" s="139"/>
      <c r="P125" s="37">
        <f>Q125+Q125*R125+S125+T125+U125</f>
        <v>1926.5</v>
      </c>
      <c r="Q125" s="71">
        <v>1750</v>
      </c>
      <c r="R125" s="157">
        <v>0</v>
      </c>
      <c r="S125" s="71">
        <v>145</v>
      </c>
      <c r="T125" s="71">
        <v>30</v>
      </c>
      <c r="U125" s="71">
        <v>1.5</v>
      </c>
      <c r="V125" s="37">
        <f>P125*E125</f>
        <v>5779.5</v>
      </c>
      <c r="W125" s="139"/>
      <c r="X125" s="139"/>
      <c r="Y125" s="139"/>
      <c r="Z125" s="139"/>
      <c r="AA125" s="139"/>
      <c r="AB125" s="139"/>
      <c r="AC125" s="139"/>
      <c r="AD125" s="139"/>
      <c r="AE125" s="139"/>
      <c r="AF125" s="140"/>
      <c r="AG125" s="140"/>
      <c r="AH125" s="140"/>
      <c r="AI125" s="140"/>
      <c r="AJ125" s="140"/>
      <c r="AK125" s="140"/>
      <c r="AL125" s="140"/>
      <c r="AM125" s="140"/>
      <c r="AN125" s="140"/>
      <c r="AO125" s="140"/>
      <c r="AP125" s="140"/>
      <c r="AQ125" s="140"/>
      <c r="AR125" s="140"/>
      <c r="AS125" s="140"/>
      <c r="AT125" s="140"/>
      <c r="AU125" s="140"/>
      <c r="AV125" s="140"/>
      <c r="AW125" s="140"/>
      <c r="AX125" s="140"/>
      <c r="AY125" s="140"/>
      <c r="AZ125" s="140"/>
      <c r="BA125" s="140"/>
      <c r="BB125" s="140"/>
      <c r="BC125" s="140"/>
      <c r="BD125" s="140"/>
      <c r="BE125" s="140"/>
    </row>
    <row r="126" s="119" customFormat="1" ht="24" customHeight="1" outlineLevel="1" spans="1:57">
      <c r="A126" s="132" t="s">
        <v>149</v>
      </c>
      <c r="B126" s="8" t="s">
        <v>150</v>
      </c>
      <c r="C126" s="8"/>
      <c r="D126" s="133"/>
      <c r="E126" s="134"/>
      <c r="F126" s="134"/>
      <c r="G126" s="134"/>
      <c r="H126" s="134"/>
      <c r="I126" s="134"/>
      <c r="J126" s="134"/>
      <c r="K126" s="11"/>
      <c r="L126" s="135"/>
      <c r="M126" s="139"/>
      <c r="N126" s="139"/>
      <c r="O126" s="139" t="str">
        <f>_xlfn.DISPIMG("ID_E3C0506697614A36BC3BDD42540CE5D7",1)</f>
        <v>=DISPIMG("ID_E3C0506697614A36BC3BDD42540CE5D7",1)</v>
      </c>
      <c r="P126" s="137"/>
      <c r="Q126" s="137"/>
      <c r="R126" s="138"/>
      <c r="S126" s="137"/>
      <c r="T126" s="137"/>
      <c r="U126" s="137"/>
      <c r="V126" s="137"/>
      <c r="W126" s="139"/>
      <c r="X126" s="139"/>
      <c r="Y126" s="139"/>
      <c r="Z126" s="139"/>
      <c r="AA126" s="139"/>
      <c r="AB126" s="139"/>
      <c r="AC126" s="139"/>
      <c r="AD126" s="139"/>
      <c r="AE126" s="139"/>
      <c r="AF126" s="140"/>
      <c r="AG126" s="140"/>
      <c r="AH126" s="140"/>
      <c r="AI126" s="140"/>
      <c r="AJ126" s="140"/>
      <c r="AK126" s="140"/>
      <c r="AL126" s="140"/>
      <c r="AM126" s="140"/>
      <c r="AN126" s="140"/>
      <c r="AO126" s="140"/>
      <c r="AP126" s="140"/>
      <c r="AQ126" s="140"/>
      <c r="AR126" s="140"/>
      <c r="AS126" s="140"/>
      <c r="AT126" s="140"/>
      <c r="AU126" s="140"/>
      <c r="AV126" s="140"/>
      <c r="AW126" s="140"/>
      <c r="AX126" s="140"/>
      <c r="AY126" s="140"/>
      <c r="AZ126" s="140"/>
      <c r="BA126" s="140"/>
      <c r="BB126" s="140"/>
      <c r="BC126" s="140"/>
      <c r="BD126" s="140"/>
      <c r="BE126" s="140"/>
    </row>
    <row r="127" s="119" customFormat="1" ht="24" customHeight="1" outlineLevel="1" spans="1:57">
      <c r="A127" s="141"/>
      <c r="B127" s="14" t="s">
        <v>60</v>
      </c>
      <c r="C127" s="15"/>
      <c r="D127" s="142"/>
      <c r="E127" s="143"/>
      <c r="F127" s="143"/>
      <c r="G127" s="143"/>
      <c r="H127" s="143"/>
      <c r="I127" s="143"/>
      <c r="J127" s="143"/>
      <c r="K127" s="144"/>
      <c r="L127" s="135"/>
      <c r="M127" s="139"/>
      <c r="N127" s="139"/>
      <c r="O127" s="139"/>
      <c r="P127" s="137"/>
      <c r="Q127" s="137"/>
      <c r="R127" s="138"/>
      <c r="S127" s="137"/>
      <c r="T127" s="137"/>
      <c r="U127" s="137"/>
      <c r="V127" s="137"/>
      <c r="W127" s="139"/>
      <c r="X127" s="139"/>
      <c r="Y127" s="139"/>
      <c r="Z127" s="139"/>
      <c r="AA127" s="139"/>
      <c r="AB127" s="139"/>
      <c r="AC127" s="139"/>
      <c r="AD127" s="139"/>
      <c r="AE127" s="139"/>
      <c r="AF127" s="140"/>
      <c r="AG127" s="140"/>
      <c r="AH127" s="140"/>
      <c r="AI127" s="140"/>
      <c r="AJ127" s="140"/>
      <c r="AK127" s="140"/>
      <c r="AL127" s="140"/>
      <c r="AM127" s="140"/>
      <c r="AN127" s="140"/>
      <c r="AO127" s="140"/>
      <c r="AP127" s="140"/>
      <c r="AQ127" s="140"/>
      <c r="AR127" s="140"/>
      <c r="AS127" s="140"/>
      <c r="AT127" s="140"/>
      <c r="AU127" s="140"/>
      <c r="AV127" s="140"/>
      <c r="AW127" s="140"/>
      <c r="AX127" s="140"/>
      <c r="AY127" s="140"/>
      <c r="AZ127" s="140"/>
      <c r="BA127" s="140"/>
      <c r="BB127" s="140"/>
      <c r="BC127" s="140"/>
      <c r="BD127" s="140"/>
      <c r="BE127" s="140"/>
    </row>
    <row r="128" s="119" customFormat="1" ht="96" customHeight="1" outlineLevel="2" spans="1:57">
      <c r="A128" s="162">
        <f>1+N(A127)</f>
        <v>1</v>
      </c>
      <c r="B128" s="14" t="s">
        <v>61</v>
      </c>
      <c r="C128" s="15" t="s">
        <v>62</v>
      </c>
      <c r="D128" s="142" t="s">
        <v>63</v>
      </c>
      <c r="E128" s="143">
        <v>43.66</v>
      </c>
      <c r="F128" s="143">
        <f>$F$7</f>
        <v>130</v>
      </c>
      <c r="G128" s="143">
        <f>$G$7</f>
        <v>628.3</v>
      </c>
      <c r="H128" s="17">
        <f>$H$7</f>
        <v>47.7</v>
      </c>
      <c r="I128" s="17">
        <f>(F128+G128+H128)*$I$3</f>
        <v>80.6</v>
      </c>
      <c r="J128" s="18">
        <f>ROUND(SUM(F128:I128),2)</f>
        <v>886.6</v>
      </c>
      <c r="K128" s="19">
        <f>ROUND(J128*E128,2)</f>
        <v>38708.96</v>
      </c>
      <c r="L128" s="135"/>
      <c r="M128" s="139">
        <v>1</v>
      </c>
      <c r="N128" s="139"/>
      <c r="O128" s="139"/>
      <c r="P128" s="37">
        <f>Q128+Q128*R128+S128+T128+U128</f>
        <v>806</v>
      </c>
      <c r="Q128" s="99">
        <f>$Q$7</f>
        <v>610</v>
      </c>
      <c r="R128" s="163">
        <f>$R$7</f>
        <v>0.03</v>
      </c>
      <c r="S128" s="99">
        <f>$S$7</f>
        <v>130</v>
      </c>
      <c r="T128" s="99">
        <f>$T$7</f>
        <v>46.2</v>
      </c>
      <c r="U128" s="99">
        <f>$U$7</f>
        <v>1.5</v>
      </c>
      <c r="V128" s="37">
        <f>P128*E128</f>
        <v>35189.96</v>
      </c>
      <c r="W128" s="139"/>
      <c r="X128" s="139"/>
      <c r="Y128" s="139"/>
      <c r="Z128" s="139"/>
      <c r="AA128" s="139"/>
      <c r="AB128" s="139"/>
      <c r="AC128" s="139"/>
      <c r="AD128" s="139"/>
      <c r="AE128" s="139"/>
      <c r="AF128" s="140"/>
      <c r="AG128" s="140"/>
      <c r="AH128" s="140"/>
      <c r="AI128" s="140"/>
      <c r="AJ128" s="140"/>
      <c r="AK128" s="140"/>
      <c r="AL128" s="140"/>
      <c r="AM128" s="140"/>
      <c r="AN128" s="140"/>
      <c r="AO128" s="140"/>
      <c r="AP128" s="140"/>
      <c r="AQ128" s="140"/>
      <c r="AR128" s="140"/>
      <c r="AS128" s="140"/>
      <c r="AT128" s="140"/>
      <c r="AU128" s="140"/>
      <c r="AV128" s="140"/>
      <c r="AW128" s="140"/>
      <c r="AX128" s="140"/>
      <c r="AY128" s="140"/>
      <c r="AZ128" s="140"/>
      <c r="BA128" s="140"/>
      <c r="BB128" s="140"/>
      <c r="BC128" s="140"/>
      <c r="BD128" s="140"/>
      <c r="BE128" s="140"/>
    </row>
    <row r="129" s="119" customFormat="1" ht="108" customHeight="1" outlineLevel="2" spans="1:57">
      <c r="A129" s="162">
        <f>1+N(A128)</f>
        <v>2</v>
      </c>
      <c r="B129" s="14" t="s">
        <v>64</v>
      </c>
      <c r="C129" s="15" t="s">
        <v>65</v>
      </c>
      <c r="D129" s="142" t="s">
        <v>63</v>
      </c>
      <c r="E129" s="143">
        <v>42.04</v>
      </c>
      <c r="F129" s="143">
        <f>$F$8</f>
        <v>130</v>
      </c>
      <c r="G129" s="143">
        <f>$G$8</f>
        <v>854.9</v>
      </c>
      <c r="H129" s="143">
        <f>$H$8</f>
        <v>47.7</v>
      </c>
      <c r="I129" s="17">
        <f>(F129+G129+H129)*$I$3</f>
        <v>103.26</v>
      </c>
      <c r="J129" s="18">
        <f>ROUND(SUM(F129:I129),2)</f>
        <v>1135.86</v>
      </c>
      <c r="K129" s="19">
        <f>ROUND(J129*E129,2)</f>
        <v>47751.55</v>
      </c>
      <c r="L129" s="135"/>
      <c r="M129" s="139">
        <v>1</v>
      </c>
      <c r="N129" s="139"/>
      <c r="O129" s="139"/>
      <c r="P129" s="37">
        <f>Q129+Q129*R129+S129+T129+U129</f>
        <v>1032.6</v>
      </c>
      <c r="Q129" s="99">
        <f>$Q$8</f>
        <v>830</v>
      </c>
      <c r="R129" s="163">
        <f>$R$8</f>
        <v>0.03</v>
      </c>
      <c r="S129" s="99">
        <f>$S$8</f>
        <v>130</v>
      </c>
      <c r="T129" s="99">
        <f>$T$8</f>
        <v>46.2</v>
      </c>
      <c r="U129" s="99">
        <f>$U$8</f>
        <v>1.5</v>
      </c>
      <c r="V129" s="37">
        <f>P129*E129</f>
        <v>43410.504</v>
      </c>
      <c r="W129" s="139"/>
      <c r="X129" s="139"/>
      <c r="Y129" s="139"/>
      <c r="Z129" s="139"/>
      <c r="AA129" s="139"/>
      <c r="AB129" s="139"/>
      <c r="AC129" s="139"/>
      <c r="AD129" s="139"/>
      <c r="AE129" s="139"/>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0"/>
      <c r="BB129" s="140"/>
      <c r="BC129" s="140"/>
      <c r="BD129" s="140"/>
      <c r="BE129" s="140"/>
    </row>
    <row r="130" s="119" customFormat="1" ht="36" customHeight="1" outlineLevel="2" spans="1:57">
      <c r="A130" s="162">
        <f>1+N(A129)</f>
        <v>3</v>
      </c>
      <c r="B130" s="14" t="s">
        <v>68</v>
      </c>
      <c r="C130" s="15" t="s">
        <v>69</v>
      </c>
      <c r="D130" s="142" t="s">
        <v>70</v>
      </c>
      <c r="E130" s="143">
        <v>31.67</v>
      </c>
      <c r="F130" s="143">
        <f>$F$10</f>
        <v>12</v>
      </c>
      <c r="G130" s="143">
        <f>$G$10</f>
        <v>19.57</v>
      </c>
      <c r="H130" s="143">
        <f>$H$10</f>
        <v>0.5</v>
      </c>
      <c r="I130" s="17">
        <f>(F130+G130+H130)*$I$3</f>
        <v>3.207</v>
      </c>
      <c r="J130" s="18">
        <f>ROUND(SUM(F130:I130),2)</f>
        <v>35.28</v>
      </c>
      <c r="K130" s="19">
        <f>ROUND(J130*E130,2)</f>
        <v>1117.32</v>
      </c>
      <c r="L130" s="135"/>
      <c r="M130" s="139">
        <v>1</v>
      </c>
      <c r="N130" s="139"/>
      <c r="O130" s="139"/>
      <c r="P130" s="37">
        <f>Q130+Q130*R130+S130+T130+U130</f>
        <v>32.07</v>
      </c>
      <c r="Q130" s="99">
        <f>$Q$10</f>
        <v>19</v>
      </c>
      <c r="R130" s="163">
        <f>$R$10</f>
        <v>0.03</v>
      </c>
      <c r="S130" s="99">
        <f>$S$10</f>
        <v>12</v>
      </c>
      <c r="T130" s="99">
        <f>$T$10</f>
        <v>0.3</v>
      </c>
      <c r="U130" s="99">
        <f>$U$10</f>
        <v>0.2</v>
      </c>
      <c r="V130" s="37">
        <f>P130*E130</f>
        <v>1015.6569</v>
      </c>
      <c r="W130" s="139"/>
      <c r="X130" s="139"/>
      <c r="Y130" s="139"/>
      <c r="Z130" s="139"/>
      <c r="AA130" s="139"/>
      <c r="AB130" s="139"/>
      <c r="AC130" s="139"/>
      <c r="AD130" s="139"/>
      <c r="AE130" s="139"/>
      <c r="AF130" s="140"/>
      <c r="AG130" s="140"/>
      <c r="AH130" s="140"/>
      <c r="AI130" s="140"/>
      <c r="AJ130" s="140"/>
      <c r="AK130" s="140"/>
      <c r="AL130" s="140"/>
      <c r="AM130" s="140"/>
      <c r="AN130" s="140"/>
      <c r="AO130" s="140"/>
      <c r="AP130" s="140"/>
      <c r="AQ130" s="140"/>
      <c r="AR130" s="140"/>
      <c r="AS130" s="140"/>
      <c r="AT130" s="140"/>
      <c r="AU130" s="140"/>
      <c r="AV130" s="140"/>
      <c r="AW130" s="140"/>
      <c r="AX130" s="140"/>
      <c r="AY130" s="140"/>
      <c r="AZ130" s="140"/>
      <c r="BA130" s="140"/>
      <c r="BB130" s="140"/>
      <c r="BC130" s="140"/>
      <c r="BD130" s="140"/>
      <c r="BE130" s="140"/>
    </row>
    <row r="131" s="119" customFormat="1" ht="48" customHeight="1" outlineLevel="2" spans="1:57">
      <c r="A131" s="162">
        <f>1+N(A130)</f>
        <v>4</v>
      </c>
      <c r="B131" s="14" t="s">
        <v>71</v>
      </c>
      <c r="C131" s="15" t="s">
        <v>72</v>
      </c>
      <c r="D131" s="142" t="s">
        <v>63</v>
      </c>
      <c r="E131" s="143">
        <v>85.7</v>
      </c>
      <c r="F131" s="143">
        <f>$F$11</f>
        <v>40</v>
      </c>
      <c r="G131" s="143">
        <f>$G$11</f>
        <v>15</v>
      </c>
      <c r="H131" s="143">
        <f>$H$11</f>
        <v>0.8</v>
      </c>
      <c r="I131" s="17">
        <f>(F131+G131+H131)*$I$3</f>
        <v>5.58</v>
      </c>
      <c r="J131" s="18">
        <f>ROUND(SUM(F131:I131),2)</f>
        <v>61.38</v>
      </c>
      <c r="K131" s="19">
        <f>ROUND(J131*E131,2)</f>
        <v>5260.27</v>
      </c>
      <c r="L131" s="135"/>
      <c r="M131" s="139">
        <v>1</v>
      </c>
      <c r="N131" s="139"/>
      <c r="O131" s="139"/>
      <c r="P131" s="37">
        <f>Q131+Q131*R131+S131+T131+U131</f>
        <v>55.8</v>
      </c>
      <c r="Q131" s="99">
        <f>$Q$11</f>
        <v>15</v>
      </c>
      <c r="R131" s="163">
        <f>$R$11</f>
        <v>0</v>
      </c>
      <c r="S131" s="99">
        <f>$S$11</f>
        <v>40</v>
      </c>
      <c r="T131" s="99">
        <f>$T$11</f>
        <v>0.5</v>
      </c>
      <c r="U131" s="99">
        <f>$U$11</f>
        <v>0.3</v>
      </c>
      <c r="V131" s="37">
        <f>P131*E131</f>
        <v>4782.06</v>
      </c>
      <c r="W131" s="139"/>
      <c r="X131" s="139"/>
      <c r="Y131" s="139"/>
      <c r="Z131" s="139"/>
      <c r="AA131" s="139"/>
      <c r="AB131" s="139"/>
      <c r="AC131" s="139"/>
      <c r="AD131" s="139"/>
      <c r="AE131" s="139"/>
      <c r="AF131" s="140"/>
      <c r="AG131" s="140"/>
      <c r="AH131" s="140"/>
      <c r="AI131" s="140"/>
      <c r="AJ131" s="140"/>
      <c r="AK131" s="140"/>
      <c r="AL131" s="140"/>
      <c r="AM131" s="140"/>
      <c r="AN131" s="140"/>
      <c r="AO131" s="140"/>
      <c r="AP131" s="140"/>
      <c r="AQ131" s="140"/>
      <c r="AR131" s="140"/>
      <c r="AS131" s="140"/>
      <c r="AT131" s="140"/>
      <c r="AU131" s="140"/>
      <c r="AV131" s="140"/>
      <c r="AW131" s="140"/>
      <c r="AX131" s="140"/>
      <c r="AY131" s="140"/>
      <c r="AZ131" s="140"/>
      <c r="BA131" s="140"/>
      <c r="BB131" s="140"/>
      <c r="BC131" s="140"/>
      <c r="BD131" s="140"/>
      <c r="BE131" s="140"/>
    </row>
    <row r="132" s="119" customFormat="1" ht="24" customHeight="1" outlineLevel="1" spans="1:57">
      <c r="A132" s="141"/>
      <c r="B132" s="14" t="s">
        <v>73</v>
      </c>
      <c r="C132" s="15"/>
      <c r="D132" s="142"/>
      <c r="E132" s="143"/>
      <c r="F132" s="143"/>
      <c r="G132" s="143"/>
      <c r="H132" s="143"/>
      <c r="I132" s="143"/>
      <c r="J132" s="143"/>
      <c r="K132" s="144"/>
      <c r="L132" s="135"/>
      <c r="M132" s="139"/>
      <c r="N132" s="139"/>
      <c r="O132" s="139"/>
      <c r="P132" s="137"/>
      <c r="Q132" s="137"/>
      <c r="R132" s="138"/>
      <c r="S132" s="137"/>
      <c r="T132" s="137"/>
      <c r="U132" s="137"/>
      <c r="V132" s="137"/>
      <c r="W132" s="139"/>
      <c r="X132" s="139"/>
      <c r="Y132" s="139"/>
      <c r="Z132" s="139"/>
      <c r="AA132" s="139"/>
      <c r="AB132" s="139"/>
      <c r="AC132" s="139"/>
      <c r="AD132" s="139"/>
      <c r="AE132" s="139"/>
      <c r="AF132" s="140"/>
      <c r="AG132" s="140"/>
      <c r="AH132" s="140"/>
      <c r="AI132" s="140"/>
      <c r="AJ132" s="140"/>
      <c r="AK132" s="140"/>
      <c r="AL132" s="140"/>
      <c r="AM132" s="140"/>
      <c r="AN132" s="140"/>
      <c r="AO132" s="140"/>
      <c r="AP132" s="140"/>
      <c r="AQ132" s="140"/>
      <c r="AR132" s="140"/>
      <c r="AS132" s="140"/>
      <c r="AT132" s="140"/>
      <c r="AU132" s="140"/>
      <c r="AV132" s="140"/>
      <c r="AW132" s="140"/>
      <c r="AX132" s="140"/>
      <c r="AY132" s="140"/>
      <c r="AZ132" s="140"/>
      <c r="BA132" s="140"/>
      <c r="BB132" s="140"/>
      <c r="BC132" s="140"/>
      <c r="BD132" s="140"/>
      <c r="BE132" s="140"/>
    </row>
    <row r="133" s="119" customFormat="1" ht="72" customHeight="1" outlineLevel="2" spans="1:57">
      <c r="A133" s="162">
        <f t="shared" ref="A133:A140" si="39">1+N(A132)</f>
        <v>1</v>
      </c>
      <c r="B133" s="164" t="s">
        <v>74</v>
      </c>
      <c r="C133" s="15" t="s">
        <v>75</v>
      </c>
      <c r="D133" s="142" t="s">
        <v>63</v>
      </c>
      <c r="E133" s="143">
        <v>21.421</v>
      </c>
      <c r="F133" s="143">
        <f>$F$13</f>
        <v>95</v>
      </c>
      <c r="G133" s="143">
        <f>$G$13</f>
        <v>813.75</v>
      </c>
      <c r="H133" s="143">
        <f>$H$13</f>
        <v>18.3</v>
      </c>
      <c r="I133" s="17">
        <f t="shared" ref="I133:I140" si="40">(F133+G133+H133)*$I$3</f>
        <v>92.705</v>
      </c>
      <c r="J133" s="18">
        <f t="shared" ref="J133:J140" si="41">ROUND(SUM(F133:I133),2)</f>
        <v>1019.76</v>
      </c>
      <c r="K133" s="19">
        <f t="shared" ref="K133:K140" si="42">ROUND(J133*E133,2)</f>
        <v>21844.28</v>
      </c>
      <c r="L133" s="135"/>
      <c r="M133" s="139">
        <v>1</v>
      </c>
      <c r="N133" s="139"/>
      <c r="O133" s="139"/>
      <c r="P133" s="37">
        <f t="shared" ref="P133:P140" si="43">Q133+Q133*R133+S133+T133+U133</f>
        <v>927.05</v>
      </c>
      <c r="Q133" s="99">
        <f>$Q$13</f>
        <v>775</v>
      </c>
      <c r="R133" s="163">
        <f>$R$13</f>
        <v>0.05</v>
      </c>
      <c r="S133" s="99">
        <f>$S$13</f>
        <v>95</v>
      </c>
      <c r="T133" s="99">
        <f>$T$13</f>
        <v>16.8</v>
      </c>
      <c r="U133" s="99">
        <f>$U$13</f>
        <v>1.5</v>
      </c>
      <c r="V133" s="37">
        <f t="shared" ref="V133:V140" si="44">P133*E133</f>
        <v>19858.33805</v>
      </c>
      <c r="W133" s="139"/>
      <c r="X133" s="139"/>
      <c r="Y133" s="139"/>
      <c r="Z133" s="139"/>
      <c r="AA133" s="139"/>
      <c r="AB133" s="139"/>
      <c r="AC133" s="139"/>
      <c r="AD133" s="139"/>
      <c r="AE133" s="139"/>
      <c r="AF133" s="140"/>
      <c r="AG133" s="140"/>
      <c r="AH133" s="140"/>
      <c r="AI133" s="140"/>
      <c r="AJ133" s="140"/>
      <c r="AK133" s="140"/>
      <c r="AL133" s="140"/>
      <c r="AM133" s="140"/>
      <c r="AN133" s="140"/>
      <c r="AO133" s="140"/>
      <c r="AP133" s="140"/>
      <c r="AQ133" s="140"/>
      <c r="AR133" s="140"/>
      <c r="AS133" s="140"/>
      <c r="AT133" s="140"/>
      <c r="AU133" s="140"/>
      <c r="AV133" s="140"/>
      <c r="AW133" s="140"/>
      <c r="AX133" s="140"/>
      <c r="AY133" s="140"/>
      <c r="AZ133" s="140"/>
      <c r="BA133" s="140"/>
      <c r="BB133" s="140"/>
      <c r="BC133" s="140"/>
      <c r="BD133" s="140"/>
      <c r="BE133" s="140"/>
    </row>
    <row r="134" s="119" customFormat="1" ht="96" customHeight="1" outlineLevel="2" spans="1:57">
      <c r="A134" s="162">
        <f t="shared" si="39"/>
        <v>2</v>
      </c>
      <c r="B134" s="165" t="s">
        <v>76</v>
      </c>
      <c r="C134" s="166" t="s">
        <v>77</v>
      </c>
      <c r="D134" s="142" t="s">
        <v>63</v>
      </c>
      <c r="E134" s="143">
        <v>128.31</v>
      </c>
      <c r="F134" s="143">
        <f>$F$14</f>
        <v>145</v>
      </c>
      <c r="G134" s="143">
        <f>$G$14</f>
        <v>651</v>
      </c>
      <c r="H134" s="143">
        <f>$H$14</f>
        <v>113.55</v>
      </c>
      <c r="I134" s="17">
        <f t="shared" si="40"/>
        <v>90.955</v>
      </c>
      <c r="J134" s="18">
        <f t="shared" si="41"/>
        <v>1000.51</v>
      </c>
      <c r="K134" s="19">
        <f t="shared" si="42"/>
        <v>128375.44</v>
      </c>
      <c r="L134" s="135"/>
      <c r="M134" s="139">
        <v>1</v>
      </c>
      <c r="N134" s="139"/>
      <c r="O134" s="139"/>
      <c r="P134" s="37">
        <f t="shared" si="43"/>
        <v>909.55</v>
      </c>
      <c r="Q134" s="99">
        <f>$Q$14</f>
        <v>620</v>
      </c>
      <c r="R134" s="163">
        <f>$R$14</f>
        <v>0.05</v>
      </c>
      <c r="S134" s="99">
        <f>$S$14</f>
        <v>145</v>
      </c>
      <c r="T134" s="99">
        <f>$T$14</f>
        <v>111.75</v>
      </c>
      <c r="U134" s="99">
        <f>$U$14</f>
        <v>1.8</v>
      </c>
      <c r="V134" s="37">
        <f t="shared" si="44"/>
        <v>116704.3605</v>
      </c>
      <c r="W134" s="139"/>
      <c r="X134" s="139"/>
      <c r="Y134" s="139"/>
      <c r="Z134" s="139"/>
      <c r="AA134" s="139"/>
      <c r="AB134" s="139"/>
      <c r="AC134" s="139"/>
      <c r="AD134" s="139"/>
      <c r="AE134" s="139"/>
      <c r="AF134" s="140"/>
      <c r="AG134" s="140"/>
      <c r="AH134" s="140"/>
      <c r="AI134" s="140"/>
      <c r="AJ134" s="140"/>
      <c r="AK134" s="140"/>
      <c r="AL134" s="140"/>
      <c r="AM134" s="140"/>
      <c r="AN134" s="140"/>
      <c r="AO134" s="140"/>
      <c r="AP134" s="140"/>
      <c r="AQ134" s="140"/>
      <c r="AR134" s="140"/>
      <c r="AS134" s="140"/>
      <c r="AT134" s="140"/>
      <c r="AU134" s="140"/>
      <c r="AV134" s="140"/>
      <c r="AW134" s="140"/>
      <c r="AX134" s="140"/>
      <c r="AY134" s="140"/>
      <c r="AZ134" s="140"/>
      <c r="BA134" s="140"/>
      <c r="BB134" s="140"/>
      <c r="BC134" s="140"/>
      <c r="BD134" s="140"/>
      <c r="BE134" s="140"/>
    </row>
    <row r="135" s="119" customFormat="1" ht="96" customHeight="1" outlineLevel="2" spans="1:57">
      <c r="A135" s="162">
        <f t="shared" si="39"/>
        <v>3</v>
      </c>
      <c r="B135" s="165" t="s">
        <v>78</v>
      </c>
      <c r="C135" s="166" t="s">
        <v>79</v>
      </c>
      <c r="D135" s="142" t="s">
        <v>63</v>
      </c>
      <c r="E135" s="143">
        <v>13.976</v>
      </c>
      <c r="F135" s="143">
        <f>$F$15</f>
        <v>145</v>
      </c>
      <c r="G135" s="143">
        <f>$G$15</f>
        <v>813.75</v>
      </c>
      <c r="H135" s="143">
        <f>$H$15</f>
        <v>113.55</v>
      </c>
      <c r="I135" s="17">
        <f t="shared" si="40"/>
        <v>107.23</v>
      </c>
      <c r="J135" s="18">
        <f t="shared" si="41"/>
        <v>1179.53</v>
      </c>
      <c r="K135" s="19">
        <f t="shared" si="42"/>
        <v>16485.11</v>
      </c>
      <c r="L135" s="135"/>
      <c r="M135" s="139">
        <v>1</v>
      </c>
      <c r="N135" s="139"/>
      <c r="O135" s="139"/>
      <c r="P135" s="37">
        <f t="shared" si="43"/>
        <v>1072.3</v>
      </c>
      <c r="Q135" s="99">
        <f>$Q$15</f>
        <v>775</v>
      </c>
      <c r="R135" s="163">
        <f>$R$15</f>
        <v>0.05</v>
      </c>
      <c r="S135" s="99">
        <f>$S$15</f>
        <v>145</v>
      </c>
      <c r="T135" s="99">
        <f>$T$15</f>
        <v>111.75</v>
      </c>
      <c r="U135" s="99">
        <f>$U$15</f>
        <v>1.8</v>
      </c>
      <c r="V135" s="37">
        <f t="shared" si="44"/>
        <v>14986.4648</v>
      </c>
      <c r="W135" s="139"/>
      <c r="X135" s="139"/>
      <c r="Y135" s="139"/>
      <c r="Z135" s="139"/>
      <c r="AA135" s="139"/>
      <c r="AB135" s="139"/>
      <c r="AC135" s="139"/>
      <c r="AD135" s="139"/>
      <c r="AE135" s="139"/>
      <c r="AF135" s="140"/>
      <c r="AG135" s="140"/>
      <c r="AH135" s="140"/>
      <c r="AI135" s="140"/>
      <c r="AJ135" s="140"/>
      <c r="AK135" s="140"/>
      <c r="AL135" s="140"/>
      <c r="AM135" s="140"/>
      <c r="AN135" s="140"/>
      <c r="AO135" s="140"/>
      <c r="AP135" s="140"/>
      <c r="AQ135" s="140"/>
      <c r="AR135" s="140"/>
      <c r="AS135" s="140"/>
      <c r="AT135" s="140"/>
      <c r="AU135" s="140"/>
      <c r="AV135" s="140"/>
      <c r="AW135" s="140"/>
      <c r="AX135" s="140"/>
      <c r="AY135" s="140"/>
      <c r="AZ135" s="140"/>
      <c r="BA135" s="140"/>
      <c r="BB135" s="140"/>
      <c r="BC135" s="140"/>
      <c r="BD135" s="140"/>
      <c r="BE135" s="140"/>
    </row>
    <row r="136" s="119" customFormat="1" ht="36" customHeight="1" outlineLevel="2" spans="1:57">
      <c r="A136" s="145">
        <f t="shared" si="39"/>
        <v>4</v>
      </c>
      <c r="B136" s="159" t="s">
        <v>151</v>
      </c>
      <c r="C136" s="160" t="s">
        <v>152</v>
      </c>
      <c r="D136" s="148" t="s">
        <v>63</v>
      </c>
      <c r="E136" s="149">
        <f>3.67*2.94+17.97</f>
        <v>28.7598</v>
      </c>
      <c r="F136" s="149">
        <f>S136*$S$1</f>
        <v>350</v>
      </c>
      <c r="G136" s="149">
        <f>Q136*(1+R136)*$Q$1</f>
        <v>1950</v>
      </c>
      <c r="H136" s="149">
        <f>(T136+U136)*$T$1</f>
        <v>60.5</v>
      </c>
      <c r="I136" s="150">
        <f t="shared" si="40"/>
        <v>236.05</v>
      </c>
      <c r="J136" s="151">
        <f t="shared" si="41"/>
        <v>2596.55</v>
      </c>
      <c r="K136" s="152">
        <f t="shared" si="42"/>
        <v>74676.26</v>
      </c>
      <c r="L136" s="153"/>
      <c r="M136" s="139">
        <v>1</v>
      </c>
      <c r="N136" s="139"/>
      <c r="O136" s="139"/>
      <c r="P136" s="37">
        <f t="shared" si="43"/>
        <v>2360.5</v>
      </c>
      <c r="Q136" s="71">
        <v>1950</v>
      </c>
      <c r="R136" s="157"/>
      <c r="S136" s="71">
        <v>350</v>
      </c>
      <c r="T136" s="71">
        <v>50</v>
      </c>
      <c r="U136" s="71">
        <v>10.5</v>
      </c>
      <c r="V136" s="37">
        <f t="shared" si="44"/>
        <v>67887.5079</v>
      </c>
      <c r="W136" s="139"/>
      <c r="X136" s="139"/>
      <c r="Y136" s="139"/>
      <c r="Z136" s="139"/>
      <c r="AA136" s="139"/>
      <c r="AB136" s="139"/>
      <c r="AC136" s="139"/>
      <c r="AD136" s="139"/>
      <c r="AE136" s="139"/>
      <c r="AF136" s="140"/>
      <c r="AG136" s="140"/>
      <c r="AH136" s="140"/>
      <c r="AI136" s="140"/>
      <c r="AJ136" s="140"/>
      <c r="AK136" s="140"/>
      <c r="AL136" s="140"/>
      <c r="AM136" s="140"/>
      <c r="AN136" s="140"/>
      <c r="AO136" s="140"/>
      <c r="AP136" s="140"/>
      <c r="AQ136" s="140"/>
      <c r="AR136" s="140"/>
      <c r="AS136" s="140"/>
      <c r="AT136" s="140"/>
      <c r="AU136" s="140"/>
      <c r="AV136" s="140"/>
      <c r="AW136" s="140"/>
      <c r="AX136" s="140"/>
      <c r="AY136" s="140"/>
      <c r="AZ136" s="140"/>
      <c r="BA136" s="140"/>
      <c r="BB136" s="140"/>
      <c r="BC136" s="140"/>
      <c r="BD136" s="140"/>
      <c r="BE136" s="140"/>
    </row>
    <row r="137" s="119" customFormat="1" ht="36" customHeight="1" outlineLevel="2" spans="1:57">
      <c r="A137" s="145">
        <f t="shared" si="39"/>
        <v>5</v>
      </c>
      <c r="B137" s="159" t="s">
        <v>131</v>
      </c>
      <c r="C137" s="160" t="s">
        <v>153</v>
      </c>
      <c r="D137" s="148" t="s">
        <v>63</v>
      </c>
      <c r="E137" s="149">
        <f>3.67*2.94+17.97+0.062*(3.67+2.94+4.99+3.6)*2</f>
        <v>30.6446</v>
      </c>
      <c r="F137" s="149">
        <f>S137*$S$1</f>
        <v>110</v>
      </c>
      <c r="G137" s="149">
        <f>Q137*(1+R137)*$Q$1</f>
        <v>454.5</v>
      </c>
      <c r="H137" s="149">
        <f>(T137+U137)*$T$1</f>
        <v>55.2</v>
      </c>
      <c r="I137" s="150">
        <f t="shared" si="40"/>
        <v>61.97</v>
      </c>
      <c r="J137" s="151">
        <f t="shared" si="41"/>
        <v>681.67</v>
      </c>
      <c r="K137" s="152">
        <f t="shared" si="42"/>
        <v>20889.5</v>
      </c>
      <c r="L137" s="153"/>
      <c r="M137" s="139">
        <v>1</v>
      </c>
      <c r="N137" s="139"/>
      <c r="O137" s="139"/>
      <c r="P137" s="37">
        <f t="shared" si="43"/>
        <v>619.7</v>
      </c>
      <c r="Q137" s="71">
        <v>450</v>
      </c>
      <c r="R137" s="157">
        <v>0.01</v>
      </c>
      <c r="S137" s="71">
        <v>110</v>
      </c>
      <c r="T137" s="71">
        <v>54</v>
      </c>
      <c r="U137" s="71">
        <v>1.2</v>
      </c>
      <c r="V137" s="37">
        <f t="shared" si="44"/>
        <v>18990.45862</v>
      </c>
      <c r="W137" s="139"/>
      <c r="X137" s="139"/>
      <c r="Y137" s="139"/>
      <c r="Z137" s="139"/>
      <c r="AA137" s="139"/>
      <c r="AB137" s="139"/>
      <c r="AC137" s="139"/>
      <c r="AD137" s="139"/>
      <c r="AE137" s="139"/>
      <c r="AF137" s="140"/>
      <c r="AG137" s="140"/>
      <c r="AH137" s="140"/>
      <c r="AI137" s="140"/>
      <c r="AJ137" s="140"/>
      <c r="AK137" s="140"/>
      <c r="AL137" s="140"/>
      <c r="AM137" s="140"/>
      <c r="AN137" s="140"/>
      <c r="AO137" s="140"/>
      <c r="AP137" s="140"/>
      <c r="AQ137" s="140"/>
      <c r="AR137" s="140"/>
      <c r="AS137" s="140"/>
      <c r="AT137" s="140"/>
      <c r="AU137" s="140"/>
      <c r="AV137" s="140"/>
      <c r="AW137" s="140"/>
      <c r="AX137" s="140"/>
      <c r="AY137" s="140"/>
      <c r="AZ137" s="140"/>
      <c r="BA137" s="140"/>
      <c r="BB137" s="140"/>
      <c r="BC137" s="140"/>
      <c r="BD137" s="140"/>
      <c r="BE137" s="140"/>
    </row>
    <row r="138" s="119" customFormat="1" ht="48" customHeight="1" outlineLevel="2" spans="1:57">
      <c r="A138" s="162">
        <f t="shared" si="39"/>
        <v>6</v>
      </c>
      <c r="B138" s="165" t="s">
        <v>91</v>
      </c>
      <c r="C138" s="166" t="s">
        <v>92</v>
      </c>
      <c r="D138" s="165" t="s">
        <v>70</v>
      </c>
      <c r="E138" s="143">
        <v>41.599</v>
      </c>
      <c r="F138" s="143">
        <f>$F$22</f>
        <v>12</v>
      </c>
      <c r="G138" s="143">
        <f>$G$22</f>
        <v>25.75</v>
      </c>
      <c r="H138" s="143">
        <f>$H$22</f>
        <v>3.8</v>
      </c>
      <c r="I138" s="17">
        <f t="shared" si="40"/>
        <v>4.155</v>
      </c>
      <c r="J138" s="18">
        <f t="shared" si="41"/>
        <v>45.71</v>
      </c>
      <c r="K138" s="19">
        <f t="shared" si="42"/>
        <v>1901.49</v>
      </c>
      <c r="L138" s="135"/>
      <c r="M138" s="139">
        <v>1</v>
      </c>
      <c r="N138" s="139"/>
      <c r="O138" s="139"/>
      <c r="P138" s="37">
        <f t="shared" si="43"/>
        <v>41.55</v>
      </c>
      <c r="Q138" s="99">
        <f>$Q$22</f>
        <v>25</v>
      </c>
      <c r="R138" s="163">
        <f>$R$22</f>
        <v>0.03</v>
      </c>
      <c r="S138" s="99">
        <f>$S$22</f>
        <v>12</v>
      </c>
      <c r="T138" s="99">
        <f>$T$22</f>
        <v>3.5</v>
      </c>
      <c r="U138" s="99">
        <f>$U$22</f>
        <v>0.3</v>
      </c>
      <c r="V138" s="37">
        <f t="shared" si="44"/>
        <v>1728.43845</v>
      </c>
      <c r="W138" s="139"/>
      <c r="X138" s="139"/>
      <c r="Y138" s="139"/>
      <c r="Z138" s="139"/>
      <c r="AA138" s="139"/>
      <c r="AB138" s="139"/>
      <c r="AC138" s="139"/>
      <c r="AD138" s="139"/>
      <c r="AE138" s="139"/>
      <c r="AF138" s="140"/>
      <c r="AG138" s="140"/>
      <c r="AH138" s="140"/>
      <c r="AI138" s="140"/>
      <c r="AJ138" s="140"/>
      <c r="AK138" s="140"/>
      <c r="AL138" s="140"/>
      <c r="AM138" s="140"/>
      <c r="AN138" s="140"/>
      <c r="AO138" s="140"/>
      <c r="AP138" s="140"/>
      <c r="AQ138" s="140"/>
      <c r="AR138" s="140"/>
      <c r="AS138" s="140"/>
      <c r="AT138" s="140"/>
      <c r="AU138" s="140"/>
      <c r="AV138" s="140"/>
      <c r="AW138" s="140"/>
      <c r="AX138" s="140"/>
      <c r="AY138" s="140"/>
      <c r="AZ138" s="140"/>
      <c r="BA138" s="140"/>
      <c r="BB138" s="140"/>
      <c r="BC138" s="140"/>
      <c r="BD138" s="140"/>
      <c r="BE138" s="140"/>
    </row>
    <row r="139" s="119" customFormat="1" ht="48" customHeight="1" outlineLevel="2" spans="1:57">
      <c r="A139" s="162">
        <f t="shared" si="39"/>
        <v>7</v>
      </c>
      <c r="B139" s="165" t="s">
        <v>97</v>
      </c>
      <c r="C139" s="166" t="s">
        <v>98</v>
      </c>
      <c r="D139" s="165" t="s">
        <v>70</v>
      </c>
      <c r="E139" s="143">
        <v>31.555</v>
      </c>
      <c r="F139" s="143">
        <f>$F$25</f>
        <v>22</v>
      </c>
      <c r="G139" s="143">
        <f>$G$25</f>
        <v>58.195</v>
      </c>
      <c r="H139" s="143">
        <f>$H$25</f>
        <v>6.3</v>
      </c>
      <c r="I139" s="17">
        <f t="shared" si="40"/>
        <v>8.6495</v>
      </c>
      <c r="J139" s="18">
        <f t="shared" si="41"/>
        <v>95.14</v>
      </c>
      <c r="K139" s="19">
        <f t="shared" si="42"/>
        <v>3002.14</v>
      </c>
      <c r="L139" s="135"/>
      <c r="M139" s="139">
        <v>1</v>
      </c>
      <c r="N139" s="139"/>
      <c r="O139" s="139"/>
      <c r="P139" s="37">
        <f t="shared" si="43"/>
        <v>86.495</v>
      </c>
      <c r="Q139" s="99">
        <f>$Q$25</f>
        <v>56.5</v>
      </c>
      <c r="R139" s="163">
        <f>$R$25</f>
        <v>0.03</v>
      </c>
      <c r="S139" s="99">
        <f>$S$25</f>
        <v>22</v>
      </c>
      <c r="T139" s="99">
        <f>$T$25</f>
        <v>6</v>
      </c>
      <c r="U139" s="99">
        <f>$U$25</f>
        <v>0.3</v>
      </c>
      <c r="V139" s="37">
        <f t="shared" si="44"/>
        <v>2729.349725</v>
      </c>
      <c r="W139" s="139"/>
      <c r="X139" s="139"/>
      <c r="Y139" s="139"/>
      <c r="Z139" s="139"/>
      <c r="AA139" s="139"/>
      <c r="AB139" s="139"/>
      <c r="AC139" s="139"/>
      <c r="AD139" s="139"/>
      <c r="AE139" s="139"/>
      <c r="AF139" s="140"/>
      <c r="AG139" s="140"/>
      <c r="AH139" s="140"/>
      <c r="AI139" s="140"/>
      <c r="AJ139" s="140"/>
      <c r="AK139" s="140"/>
      <c r="AL139" s="140"/>
      <c r="AM139" s="140"/>
      <c r="AN139" s="140"/>
      <c r="AO139" s="140"/>
      <c r="AP139" s="140"/>
      <c r="AQ139" s="140"/>
      <c r="AR139" s="140"/>
      <c r="AS139" s="140"/>
      <c r="AT139" s="140"/>
      <c r="AU139" s="140"/>
      <c r="AV139" s="140"/>
      <c r="AW139" s="140"/>
      <c r="AX139" s="140"/>
      <c r="AY139" s="140"/>
      <c r="AZ139" s="140"/>
      <c r="BA139" s="140"/>
      <c r="BB139" s="140"/>
      <c r="BC139" s="140"/>
      <c r="BD139" s="140"/>
      <c r="BE139" s="140"/>
    </row>
    <row r="140" s="119" customFormat="1" ht="48" customHeight="1" outlineLevel="2" spans="1:57">
      <c r="A140" s="162">
        <f t="shared" si="39"/>
        <v>8</v>
      </c>
      <c r="B140" s="165" t="s">
        <v>99</v>
      </c>
      <c r="C140" s="166" t="s">
        <v>100</v>
      </c>
      <c r="D140" s="165" t="s">
        <v>70</v>
      </c>
      <c r="E140" s="143">
        <v>41.599</v>
      </c>
      <c r="F140" s="143">
        <f>$F$26</f>
        <v>12</v>
      </c>
      <c r="G140" s="143">
        <f>$G$26</f>
        <v>23.4325</v>
      </c>
      <c r="H140" s="143">
        <f>$H$26</f>
        <v>3.8</v>
      </c>
      <c r="I140" s="17">
        <f t="shared" si="40"/>
        <v>3.92325</v>
      </c>
      <c r="J140" s="18">
        <f t="shared" si="41"/>
        <v>43.16</v>
      </c>
      <c r="K140" s="19">
        <f t="shared" si="42"/>
        <v>1795.41</v>
      </c>
      <c r="L140" s="135"/>
      <c r="M140" s="139">
        <v>1</v>
      </c>
      <c r="N140" s="139"/>
      <c r="O140" s="139"/>
      <c r="P140" s="37">
        <f t="shared" si="43"/>
        <v>39.2325</v>
      </c>
      <c r="Q140" s="99">
        <f>$Q$26</f>
        <v>22.75</v>
      </c>
      <c r="R140" s="163">
        <f>$R$26</f>
        <v>0.03</v>
      </c>
      <c r="S140" s="99">
        <f>$S$26</f>
        <v>12</v>
      </c>
      <c r="T140" s="99">
        <f>$T$26</f>
        <v>3.5</v>
      </c>
      <c r="U140" s="99">
        <f>$U$26</f>
        <v>0.3</v>
      </c>
      <c r="V140" s="37">
        <f t="shared" si="44"/>
        <v>1632.0327675</v>
      </c>
      <c r="W140" s="139"/>
      <c r="X140" s="139"/>
      <c r="Y140" s="139"/>
      <c r="Z140" s="139"/>
      <c r="AA140" s="139"/>
      <c r="AB140" s="139"/>
      <c r="AC140" s="139"/>
      <c r="AD140" s="139"/>
      <c r="AE140" s="139"/>
      <c r="AF140" s="140"/>
      <c r="AG140" s="140"/>
      <c r="AH140" s="140"/>
      <c r="AI140" s="140"/>
      <c r="AJ140" s="140"/>
      <c r="AK140" s="140"/>
      <c r="AL140" s="140"/>
      <c r="AM140" s="140"/>
      <c r="AN140" s="140"/>
      <c r="AO140" s="140"/>
      <c r="AP140" s="140"/>
      <c r="AQ140" s="140"/>
      <c r="AR140" s="140"/>
      <c r="AS140" s="140"/>
      <c r="AT140" s="140"/>
      <c r="AU140" s="140"/>
      <c r="AV140" s="140"/>
      <c r="AW140" s="140"/>
      <c r="AX140" s="140"/>
      <c r="AY140" s="140"/>
      <c r="AZ140" s="140"/>
      <c r="BA140" s="140"/>
      <c r="BB140" s="140"/>
      <c r="BC140" s="140"/>
      <c r="BD140" s="140"/>
      <c r="BE140" s="140"/>
    </row>
    <row r="141" s="119" customFormat="1" ht="24" customHeight="1" outlineLevel="1" spans="1:57">
      <c r="A141" s="141"/>
      <c r="B141" s="14" t="s">
        <v>101</v>
      </c>
      <c r="C141" s="15"/>
      <c r="D141" s="142"/>
      <c r="E141" s="143"/>
      <c r="F141" s="143"/>
      <c r="G141" s="143"/>
      <c r="H141" s="143"/>
      <c r="I141" s="143"/>
      <c r="J141" s="143"/>
      <c r="K141" s="144"/>
      <c r="L141" s="135"/>
      <c r="M141" s="139"/>
      <c r="N141" s="139"/>
      <c r="O141" s="139"/>
      <c r="P141" s="137"/>
      <c r="Q141" s="137"/>
      <c r="R141" s="138"/>
      <c r="S141" s="137"/>
      <c r="T141" s="137"/>
      <c r="U141" s="137"/>
      <c r="V141" s="137"/>
      <c r="W141" s="139"/>
      <c r="X141" s="139"/>
      <c r="Y141" s="139"/>
      <c r="Z141" s="139"/>
      <c r="AA141" s="139"/>
      <c r="AB141" s="139"/>
      <c r="AC141" s="139"/>
      <c r="AD141" s="139"/>
      <c r="AE141" s="139"/>
      <c r="AF141" s="140"/>
      <c r="AG141" s="140"/>
      <c r="AH141" s="140"/>
      <c r="AI141" s="140"/>
      <c r="AJ141" s="140"/>
      <c r="AK141" s="140"/>
      <c r="AL141" s="140"/>
      <c r="AM141" s="140"/>
      <c r="AN141" s="140"/>
      <c r="AO141" s="140"/>
      <c r="AP141" s="140"/>
      <c r="AQ141" s="140"/>
      <c r="AR141" s="140"/>
      <c r="AS141" s="140"/>
      <c r="AT141" s="140"/>
      <c r="AU141" s="140"/>
      <c r="AV141" s="140"/>
      <c r="AW141" s="140"/>
      <c r="AX141" s="140"/>
      <c r="AY141" s="140"/>
      <c r="AZ141" s="140"/>
      <c r="BA141" s="140"/>
      <c r="BB141" s="140"/>
      <c r="BC141" s="140"/>
      <c r="BD141" s="140"/>
      <c r="BE141" s="140"/>
    </row>
    <row r="142" s="119" customFormat="1" ht="96" customHeight="1" outlineLevel="2" spans="1:57">
      <c r="A142" s="162">
        <f t="shared" ref="A142:A147" si="45">1+N(A141)</f>
        <v>1</v>
      </c>
      <c r="B142" s="14" t="s">
        <v>102</v>
      </c>
      <c r="C142" s="167" t="s">
        <v>103</v>
      </c>
      <c r="D142" s="142" t="s">
        <v>63</v>
      </c>
      <c r="E142" s="143">
        <f>85.7-22.2</f>
        <v>63.5</v>
      </c>
      <c r="F142" s="143">
        <f>$F$28</f>
        <v>70</v>
      </c>
      <c r="G142" s="143">
        <f>$G$28</f>
        <v>0</v>
      </c>
      <c r="H142" s="143">
        <f>$H$28</f>
        <v>66.711</v>
      </c>
      <c r="I142" s="17">
        <f t="shared" ref="I142:I147" si="46">(F142+G142+H142)*$I$3</f>
        <v>13.6711</v>
      </c>
      <c r="J142" s="18">
        <f t="shared" ref="J142:J147" si="47">ROUND(SUM(F142:I142),2)</f>
        <v>150.38</v>
      </c>
      <c r="K142" s="19">
        <f t="shared" ref="K142:K147" si="48">ROUND(J142*E142,2)</f>
        <v>9549.13</v>
      </c>
      <c r="L142" s="135"/>
      <c r="M142" s="139">
        <v>1</v>
      </c>
      <c r="N142" s="139"/>
      <c r="O142" s="139"/>
      <c r="P142" s="37">
        <f t="shared" ref="P142:P147" si="49">Q142+Q142*R142+S142+T142+U142</f>
        <v>136.711</v>
      </c>
      <c r="Q142" s="99">
        <f>$Q$28</f>
        <v>0</v>
      </c>
      <c r="R142" s="163">
        <f>$R$28</f>
        <v>0.01</v>
      </c>
      <c r="S142" s="99">
        <f>$S$28</f>
        <v>70</v>
      </c>
      <c r="T142" s="99">
        <f>$T$28</f>
        <v>64.711</v>
      </c>
      <c r="U142" s="99">
        <f>$U$28</f>
        <v>2</v>
      </c>
      <c r="V142" s="37">
        <f t="shared" ref="V142:V147" si="50">P142*E142</f>
        <v>8681.1485</v>
      </c>
      <c r="W142" s="139"/>
      <c r="X142" s="139"/>
      <c r="Y142" s="139"/>
      <c r="Z142" s="139"/>
      <c r="AA142" s="139"/>
      <c r="AB142" s="139"/>
      <c r="AC142" s="139"/>
      <c r="AD142" s="139"/>
      <c r="AE142" s="139"/>
      <c r="AF142" s="140"/>
      <c r="AG142" s="140"/>
      <c r="AH142" s="140"/>
      <c r="AI142" s="140"/>
      <c r="AJ142" s="140"/>
      <c r="AK142" s="140"/>
      <c r="AL142" s="140"/>
      <c r="AM142" s="140"/>
      <c r="AN142" s="140"/>
      <c r="AO142" s="140"/>
      <c r="AP142" s="140"/>
      <c r="AQ142" s="140"/>
      <c r="AR142" s="140"/>
      <c r="AS142" s="140"/>
      <c r="AT142" s="140"/>
      <c r="AU142" s="140"/>
      <c r="AV142" s="140"/>
      <c r="AW142" s="140"/>
      <c r="AX142" s="140"/>
      <c r="AY142" s="140"/>
      <c r="AZ142" s="140"/>
      <c r="BA142" s="140"/>
      <c r="BB142" s="140"/>
      <c r="BC142" s="140"/>
      <c r="BD142" s="140"/>
      <c r="BE142" s="140"/>
    </row>
    <row r="143" s="119" customFormat="1" ht="108" customHeight="1" outlineLevel="2" spans="1:57">
      <c r="A143" s="162">
        <f t="shared" si="45"/>
        <v>2</v>
      </c>
      <c r="B143" s="14" t="s">
        <v>123</v>
      </c>
      <c r="C143" s="167" t="s">
        <v>124</v>
      </c>
      <c r="D143" s="142" t="s">
        <v>63</v>
      </c>
      <c r="E143" s="143">
        <v>22.2</v>
      </c>
      <c r="F143" s="143">
        <f>$F$53</f>
        <v>150</v>
      </c>
      <c r="G143" s="143">
        <f>$G$53</f>
        <v>0</v>
      </c>
      <c r="H143" s="143">
        <f>$H$53</f>
        <v>66.711</v>
      </c>
      <c r="I143" s="17">
        <f t="shared" si="46"/>
        <v>21.6711</v>
      </c>
      <c r="J143" s="18">
        <f t="shared" si="47"/>
        <v>238.38</v>
      </c>
      <c r="K143" s="19">
        <f t="shared" si="48"/>
        <v>5292.04</v>
      </c>
      <c r="L143" s="135"/>
      <c r="M143" s="139">
        <v>1</v>
      </c>
      <c r="N143" s="139"/>
      <c r="O143" s="139"/>
      <c r="P143" s="37">
        <f t="shared" si="49"/>
        <v>216.711</v>
      </c>
      <c r="Q143" s="99">
        <f>$Q$53</f>
        <v>0</v>
      </c>
      <c r="R143" s="163">
        <f>$R$53</f>
        <v>0.01</v>
      </c>
      <c r="S143" s="99">
        <f>$S$53</f>
        <v>150</v>
      </c>
      <c r="T143" s="99">
        <f>$T$53</f>
        <v>64.711</v>
      </c>
      <c r="U143" s="99">
        <f>$U$53</f>
        <v>2</v>
      </c>
      <c r="V143" s="37">
        <f t="shared" si="50"/>
        <v>4810.9842</v>
      </c>
      <c r="W143" s="139"/>
      <c r="X143" s="139"/>
      <c r="Y143" s="139"/>
      <c r="Z143" s="139"/>
      <c r="AA143" s="139"/>
      <c r="AB143" s="139"/>
      <c r="AC143" s="139"/>
      <c r="AD143" s="139"/>
      <c r="AE143" s="139"/>
      <c r="AF143" s="140"/>
      <c r="AG143" s="140"/>
      <c r="AH143" s="140"/>
      <c r="AI143" s="140"/>
      <c r="AJ143" s="140"/>
      <c r="AK143" s="140"/>
      <c r="AL143" s="140"/>
      <c r="AM143" s="140"/>
      <c r="AN143" s="140"/>
      <c r="AO143" s="140"/>
      <c r="AP143" s="140"/>
      <c r="AQ143" s="140"/>
      <c r="AR143" s="140"/>
      <c r="AS143" s="140"/>
      <c r="AT143" s="140"/>
      <c r="AU143" s="140"/>
      <c r="AV143" s="140"/>
      <c r="AW143" s="140"/>
      <c r="AX143" s="140"/>
      <c r="AY143" s="140"/>
      <c r="AZ143" s="140"/>
      <c r="BA143" s="140"/>
      <c r="BB143" s="140"/>
      <c r="BC143" s="140"/>
      <c r="BD143" s="140"/>
      <c r="BE143" s="140"/>
    </row>
    <row r="144" s="119" customFormat="1" ht="48" customHeight="1" outlineLevel="2" spans="1:57">
      <c r="A144" s="162">
        <f t="shared" si="45"/>
        <v>3</v>
      </c>
      <c r="B144" s="14" t="s">
        <v>104</v>
      </c>
      <c r="C144" s="167" t="s">
        <v>105</v>
      </c>
      <c r="D144" s="142" t="s">
        <v>70</v>
      </c>
      <c r="E144" s="143">
        <v>25.18</v>
      </c>
      <c r="F144" s="143">
        <f>$F$29</f>
        <v>50</v>
      </c>
      <c r="G144" s="143">
        <f>$G$29</f>
        <v>0</v>
      </c>
      <c r="H144" s="143">
        <f>$H$29</f>
        <v>22.0941</v>
      </c>
      <c r="I144" s="17">
        <f t="shared" si="46"/>
        <v>7.20941</v>
      </c>
      <c r="J144" s="18">
        <f t="shared" si="47"/>
        <v>79.3</v>
      </c>
      <c r="K144" s="19">
        <f t="shared" si="48"/>
        <v>1996.77</v>
      </c>
      <c r="L144" s="135"/>
      <c r="M144" s="139">
        <v>1</v>
      </c>
      <c r="N144" s="139"/>
      <c r="O144" s="139"/>
      <c r="P144" s="37">
        <f t="shared" si="49"/>
        <v>72.0941</v>
      </c>
      <c r="Q144" s="99">
        <f>$Q$29</f>
        <v>0</v>
      </c>
      <c r="R144" s="163">
        <f>$R$29</f>
        <v>0.01</v>
      </c>
      <c r="S144" s="99">
        <f>$S$29</f>
        <v>50</v>
      </c>
      <c r="T144" s="99">
        <f>$T$29</f>
        <v>22.0941</v>
      </c>
      <c r="U144" s="99">
        <f>$U$29</f>
        <v>0</v>
      </c>
      <c r="V144" s="37">
        <f t="shared" si="50"/>
        <v>1815.329438</v>
      </c>
      <c r="W144" s="139"/>
      <c r="X144" s="139"/>
      <c r="Y144" s="139"/>
      <c r="Z144" s="139"/>
      <c r="AA144" s="139"/>
      <c r="AB144" s="139"/>
      <c r="AC144" s="139"/>
      <c r="AD144" s="139"/>
      <c r="AE144" s="139"/>
      <c r="AF144" s="140"/>
      <c r="AG144" s="140"/>
      <c r="AH144" s="140"/>
      <c r="AI144" s="140"/>
      <c r="AJ144" s="140"/>
      <c r="AK144" s="140"/>
      <c r="AL144" s="140"/>
      <c r="AM144" s="140"/>
      <c r="AN144" s="140"/>
      <c r="AO144" s="140"/>
      <c r="AP144" s="140"/>
      <c r="AQ144" s="140"/>
      <c r="AR144" s="140"/>
      <c r="AS144" s="140"/>
      <c r="AT144" s="140"/>
      <c r="AU144" s="140"/>
      <c r="AV144" s="140"/>
      <c r="AW144" s="140"/>
      <c r="AX144" s="140"/>
      <c r="AY144" s="140"/>
      <c r="AZ144" s="140"/>
      <c r="BA144" s="140"/>
      <c r="BB144" s="140"/>
      <c r="BC144" s="140"/>
      <c r="BD144" s="140"/>
      <c r="BE144" s="140"/>
    </row>
    <row r="145" s="119" customFormat="1" ht="48" customHeight="1" outlineLevel="2" spans="1:57">
      <c r="A145" s="162">
        <f t="shared" si="45"/>
        <v>4</v>
      </c>
      <c r="B145" s="14" t="s">
        <v>106</v>
      </c>
      <c r="C145" s="167" t="s">
        <v>107</v>
      </c>
      <c r="D145" s="142" t="s">
        <v>70</v>
      </c>
      <c r="E145" s="143">
        <v>25.18</v>
      </c>
      <c r="F145" s="143">
        <f>$F$30</f>
        <v>18</v>
      </c>
      <c r="G145" s="143">
        <f>$G$30</f>
        <v>163.255</v>
      </c>
      <c r="H145" s="143">
        <f>$H$30</f>
        <v>3.8</v>
      </c>
      <c r="I145" s="17">
        <f t="shared" si="46"/>
        <v>18.5055</v>
      </c>
      <c r="J145" s="18">
        <f t="shared" si="47"/>
        <v>203.56</v>
      </c>
      <c r="K145" s="19">
        <f t="shared" si="48"/>
        <v>5125.64</v>
      </c>
      <c r="L145" s="135"/>
      <c r="M145" s="139">
        <v>1</v>
      </c>
      <c r="N145" s="139"/>
      <c r="O145" s="139"/>
      <c r="P145" s="37">
        <f t="shared" si="49"/>
        <v>185.055</v>
      </c>
      <c r="Q145" s="99">
        <f>$Q$30</f>
        <v>158.5</v>
      </c>
      <c r="R145" s="163">
        <f>$R$30</f>
        <v>0.03</v>
      </c>
      <c r="S145" s="99">
        <f>$S$30</f>
        <v>18</v>
      </c>
      <c r="T145" s="99">
        <f>$T$30</f>
        <v>3.5</v>
      </c>
      <c r="U145" s="99">
        <f>$U$30</f>
        <v>0.3</v>
      </c>
      <c r="V145" s="37">
        <f t="shared" si="50"/>
        <v>4659.6849</v>
      </c>
      <c r="W145" s="139"/>
      <c r="X145" s="139"/>
      <c r="Y145" s="139"/>
      <c r="Z145" s="139"/>
      <c r="AA145" s="139"/>
      <c r="AB145" s="139"/>
      <c r="AC145" s="139"/>
      <c r="AD145" s="139"/>
      <c r="AE145" s="139"/>
      <c r="AF145" s="140"/>
      <c r="AG145" s="140"/>
      <c r="AH145" s="140"/>
      <c r="AI145" s="140"/>
      <c r="AJ145" s="140"/>
      <c r="AK145" s="140"/>
      <c r="AL145" s="140"/>
      <c r="AM145" s="140"/>
      <c r="AN145" s="140"/>
      <c r="AO145" s="140"/>
      <c r="AP145" s="140"/>
      <c r="AQ145" s="140"/>
      <c r="AR145" s="140"/>
      <c r="AS145" s="140"/>
      <c r="AT145" s="140"/>
      <c r="AU145" s="140"/>
      <c r="AV145" s="140"/>
      <c r="AW145" s="140"/>
      <c r="AX145" s="140"/>
      <c r="AY145" s="140"/>
      <c r="AZ145" s="140"/>
      <c r="BA145" s="140"/>
      <c r="BB145" s="140"/>
      <c r="BC145" s="140"/>
      <c r="BD145" s="140"/>
      <c r="BE145" s="140"/>
    </row>
    <row r="146" s="119" customFormat="1" ht="72" customHeight="1" outlineLevel="2" spans="1:57">
      <c r="A146" s="162">
        <f t="shared" si="45"/>
        <v>5</v>
      </c>
      <c r="B146" s="14" t="s">
        <v>108</v>
      </c>
      <c r="C146" s="15" t="s">
        <v>109</v>
      </c>
      <c r="D146" s="142" t="s">
        <v>70</v>
      </c>
      <c r="E146" s="143">
        <f>1.2*2*3</f>
        <v>7.2</v>
      </c>
      <c r="F146" s="143">
        <f>$F$31</f>
        <v>30</v>
      </c>
      <c r="G146" s="143">
        <f>$G$31</f>
        <v>65.6625</v>
      </c>
      <c r="H146" s="143">
        <f>$H$31</f>
        <v>2.7</v>
      </c>
      <c r="I146" s="17">
        <f t="shared" si="46"/>
        <v>9.83625</v>
      </c>
      <c r="J146" s="18">
        <f t="shared" si="47"/>
        <v>108.2</v>
      </c>
      <c r="K146" s="19">
        <f t="shared" si="48"/>
        <v>779.04</v>
      </c>
      <c r="L146" s="135"/>
      <c r="M146" s="139">
        <v>1</v>
      </c>
      <c r="N146" s="139"/>
      <c r="O146" s="139"/>
      <c r="P146" s="37">
        <f t="shared" si="49"/>
        <v>98.3625</v>
      </c>
      <c r="Q146" s="99">
        <f>$Q$31</f>
        <v>63.75</v>
      </c>
      <c r="R146" s="163">
        <f>$R$31</f>
        <v>0.03</v>
      </c>
      <c r="S146" s="99">
        <f>$S$31</f>
        <v>30</v>
      </c>
      <c r="T146" s="99">
        <f>$T$31</f>
        <v>2.5</v>
      </c>
      <c r="U146" s="99">
        <f>$U$31</f>
        <v>0.2</v>
      </c>
      <c r="V146" s="37">
        <f t="shared" si="50"/>
        <v>708.21</v>
      </c>
      <c r="W146" s="139"/>
      <c r="X146" s="139"/>
      <c r="Y146" s="139"/>
      <c r="Z146" s="139"/>
      <c r="AA146" s="139"/>
      <c r="AB146" s="139"/>
      <c r="AC146" s="139"/>
      <c r="AD146" s="139"/>
      <c r="AE146" s="139"/>
      <c r="AF146" s="140"/>
      <c r="AG146" s="140"/>
      <c r="AH146" s="140"/>
      <c r="AI146" s="140"/>
      <c r="AJ146" s="140"/>
      <c r="AK146" s="140"/>
      <c r="AL146" s="140"/>
      <c r="AM146" s="140"/>
      <c r="AN146" s="140"/>
      <c r="AO146" s="140"/>
      <c r="AP146" s="140"/>
      <c r="AQ146" s="140"/>
      <c r="AR146" s="140"/>
      <c r="AS146" s="140"/>
      <c r="AT146" s="140"/>
      <c r="AU146" s="140"/>
      <c r="AV146" s="140"/>
      <c r="AW146" s="140"/>
      <c r="AX146" s="140"/>
      <c r="AY146" s="140"/>
      <c r="AZ146" s="140"/>
      <c r="BA146" s="140"/>
      <c r="BB146" s="140"/>
      <c r="BC146" s="140"/>
      <c r="BD146" s="140"/>
      <c r="BE146" s="140"/>
    </row>
    <row r="147" s="119" customFormat="1" ht="72" customHeight="1" outlineLevel="2" spans="1:57">
      <c r="A147" s="162">
        <f t="shared" si="45"/>
        <v>6</v>
      </c>
      <c r="B147" s="14" t="s">
        <v>110</v>
      </c>
      <c r="C147" s="167" t="s">
        <v>111</v>
      </c>
      <c r="D147" s="142" t="s">
        <v>63</v>
      </c>
      <c r="E147" s="143">
        <f>85.7+25.18*0.3</f>
        <v>93.254</v>
      </c>
      <c r="F147" s="143">
        <f>$F$32</f>
        <v>45</v>
      </c>
      <c r="G147" s="143">
        <f>$G$32</f>
        <v>85.5</v>
      </c>
      <c r="H147" s="143">
        <f>$H$32</f>
        <v>7.3</v>
      </c>
      <c r="I147" s="17">
        <f t="shared" si="46"/>
        <v>13.78</v>
      </c>
      <c r="J147" s="18">
        <f t="shared" si="47"/>
        <v>151.58</v>
      </c>
      <c r="K147" s="19">
        <f t="shared" si="48"/>
        <v>14135.44</v>
      </c>
      <c r="L147" s="135"/>
      <c r="M147" s="139">
        <v>1</v>
      </c>
      <c r="N147" s="139"/>
      <c r="O147" s="139"/>
      <c r="P147" s="37">
        <f t="shared" si="49"/>
        <v>137.8</v>
      </c>
      <c r="Q147" s="99">
        <f>$Q$32</f>
        <v>85.5</v>
      </c>
      <c r="R147" s="163">
        <f>$R$32</f>
        <v>0</v>
      </c>
      <c r="S147" s="99">
        <f>$S$32</f>
        <v>45</v>
      </c>
      <c r="T147" s="99">
        <f>$T$32</f>
        <v>6.5</v>
      </c>
      <c r="U147" s="99">
        <f>$U$32</f>
        <v>0.8</v>
      </c>
      <c r="V147" s="37">
        <f t="shared" si="50"/>
        <v>12850.4012</v>
      </c>
      <c r="W147" s="139"/>
      <c r="X147" s="139"/>
      <c r="Y147" s="139"/>
      <c r="Z147" s="139"/>
      <c r="AA147" s="139"/>
      <c r="AB147" s="139"/>
      <c r="AC147" s="139"/>
      <c r="AD147" s="139"/>
      <c r="AE147" s="139"/>
      <c r="AF147" s="140"/>
      <c r="AG147" s="140"/>
      <c r="AH147" s="140"/>
      <c r="AI147" s="140"/>
      <c r="AJ147" s="140"/>
      <c r="AK147" s="140"/>
      <c r="AL147" s="140"/>
      <c r="AM147" s="140"/>
      <c r="AN147" s="140"/>
      <c r="AO147" s="140"/>
      <c r="AP147" s="140"/>
      <c r="AQ147" s="140"/>
      <c r="AR147" s="140"/>
      <c r="AS147" s="140"/>
      <c r="AT147" s="140"/>
      <c r="AU147" s="140"/>
      <c r="AV147" s="140"/>
      <c r="AW147" s="140"/>
      <c r="AX147" s="140"/>
      <c r="AY147" s="140"/>
      <c r="AZ147" s="140"/>
      <c r="BA147" s="140"/>
      <c r="BB147" s="140"/>
      <c r="BC147" s="140"/>
      <c r="BD147" s="140"/>
      <c r="BE147" s="140"/>
    </row>
    <row r="148" s="119" customFormat="1" ht="24" customHeight="1" outlineLevel="1" spans="1:57">
      <c r="A148" s="141"/>
      <c r="B148" s="14" t="s">
        <v>112</v>
      </c>
      <c r="C148" s="15"/>
      <c r="D148" s="142"/>
      <c r="E148" s="143"/>
      <c r="F148" s="143"/>
      <c r="G148" s="143"/>
      <c r="H148" s="143"/>
      <c r="I148" s="143"/>
      <c r="J148" s="143"/>
      <c r="K148" s="144"/>
      <c r="L148" s="135"/>
      <c r="M148" s="139"/>
      <c r="N148" s="139"/>
      <c r="O148" s="139"/>
      <c r="P148" s="137"/>
      <c r="Q148" s="137"/>
      <c r="R148" s="138"/>
      <c r="S148" s="137"/>
      <c r="T148" s="137"/>
      <c r="U148" s="137"/>
      <c r="V148" s="137"/>
      <c r="W148" s="139"/>
      <c r="X148" s="139"/>
      <c r="Y148" s="139"/>
      <c r="Z148" s="139"/>
      <c r="AA148" s="139"/>
      <c r="AB148" s="139"/>
      <c r="AC148" s="139"/>
      <c r="AD148" s="139"/>
      <c r="AE148" s="139"/>
      <c r="AF148" s="140"/>
      <c r="AG148" s="140"/>
      <c r="AH148" s="140"/>
      <c r="AI148" s="140"/>
      <c r="AJ148" s="140"/>
      <c r="AK148" s="140"/>
      <c r="AL148" s="140"/>
      <c r="AM148" s="140"/>
      <c r="AN148" s="140"/>
      <c r="AO148" s="140"/>
      <c r="AP148" s="140"/>
      <c r="AQ148" s="140"/>
      <c r="AR148" s="140"/>
      <c r="AS148" s="140"/>
      <c r="AT148" s="140"/>
      <c r="AU148" s="140"/>
      <c r="AV148" s="140"/>
      <c r="AW148" s="140"/>
      <c r="AX148" s="140"/>
      <c r="AY148" s="140"/>
      <c r="AZ148" s="140"/>
      <c r="BA148" s="140"/>
      <c r="BB148" s="140"/>
      <c r="BC148" s="140"/>
      <c r="BD148" s="140"/>
      <c r="BE148" s="140"/>
    </row>
    <row r="149" s="119" customFormat="1" ht="84" customHeight="1" outlineLevel="2" spans="1:57">
      <c r="A149" s="145">
        <f>1+N(A148)</f>
        <v>1</v>
      </c>
      <c r="B149" s="146" t="s">
        <v>154</v>
      </c>
      <c r="C149" s="147" t="s">
        <v>155</v>
      </c>
      <c r="D149" s="148" t="s">
        <v>156</v>
      </c>
      <c r="E149" s="149">
        <v>1</v>
      </c>
      <c r="F149" s="149">
        <f>S149*$S$1</f>
        <v>1920</v>
      </c>
      <c r="G149" s="149">
        <f>Q149*(1+R149)*$Q$1</f>
        <v>8872</v>
      </c>
      <c r="H149" s="149">
        <f>(T149+U149)*$T$1</f>
        <v>396</v>
      </c>
      <c r="I149" s="150">
        <f>(F149+G149+H149)*$I$3</f>
        <v>1118.8</v>
      </c>
      <c r="J149" s="151">
        <f>ROUND(SUM(F149:I149),2)</f>
        <v>12306.8</v>
      </c>
      <c r="K149" s="152">
        <f>ROUND(J149*E149,2)</f>
        <v>12306.8</v>
      </c>
      <c r="L149" s="153"/>
      <c r="M149" s="139">
        <v>1</v>
      </c>
      <c r="N149" s="139"/>
      <c r="O149" s="139"/>
      <c r="P149" s="37">
        <f>Q149+Q149*R149+S149+T149+U149</f>
        <v>11188</v>
      </c>
      <c r="Q149" s="71">
        <v>8872</v>
      </c>
      <c r="R149" s="157">
        <v>0</v>
      </c>
      <c r="S149" s="71">
        <v>1920</v>
      </c>
      <c r="T149" s="71">
        <v>360</v>
      </c>
      <c r="U149" s="71">
        <v>36</v>
      </c>
      <c r="V149" s="37">
        <f>P149*E149</f>
        <v>11188</v>
      </c>
      <c r="W149" s="139"/>
      <c r="X149" s="139"/>
      <c r="Y149" s="139"/>
      <c r="Z149" s="139"/>
      <c r="AA149" s="139"/>
      <c r="AB149" s="139"/>
      <c r="AC149" s="139"/>
      <c r="AD149" s="139"/>
      <c r="AE149" s="139"/>
      <c r="AF149" s="140"/>
      <c r="AG149" s="140"/>
      <c r="AH149" s="140"/>
      <c r="AI149" s="140"/>
      <c r="AJ149" s="140"/>
      <c r="AK149" s="140"/>
      <c r="AL149" s="140"/>
      <c r="AM149" s="140"/>
      <c r="AN149" s="140"/>
      <c r="AO149" s="140"/>
      <c r="AP149" s="140"/>
      <c r="AQ149" s="140"/>
      <c r="AR149" s="140"/>
      <c r="AS149" s="140"/>
      <c r="AT149" s="140"/>
      <c r="AU149" s="140"/>
      <c r="AV149" s="140"/>
      <c r="AW149" s="140"/>
      <c r="AX149" s="140"/>
      <c r="AY149" s="140"/>
      <c r="AZ149" s="140"/>
      <c r="BA149" s="140"/>
      <c r="BB149" s="140"/>
      <c r="BC149" s="140"/>
      <c r="BD149" s="140"/>
      <c r="BE149" s="140"/>
    </row>
    <row r="150" s="119" customFormat="1" ht="36" customHeight="1" outlineLevel="2" spans="1:57">
      <c r="A150" s="162">
        <f>1+N(A149)</f>
        <v>2</v>
      </c>
      <c r="B150" s="14" t="s">
        <v>126</v>
      </c>
      <c r="C150" s="15" t="s">
        <v>114</v>
      </c>
      <c r="D150" s="142" t="s">
        <v>63</v>
      </c>
      <c r="E150" s="143">
        <f>0.715*3</f>
        <v>2.145</v>
      </c>
      <c r="F150" s="143">
        <f>$F$60</f>
        <v>165</v>
      </c>
      <c r="G150" s="143">
        <f>$G$60</f>
        <v>85</v>
      </c>
      <c r="H150" s="143">
        <f>$H$60</f>
        <v>355.1744</v>
      </c>
      <c r="I150" s="17">
        <f>(F150+G150+H150)*$I$3</f>
        <v>60.51744</v>
      </c>
      <c r="J150" s="18">
        <f>ROUND(SUM(F150:I150),2)</f>
        <v>665.69</v>
      </c>
      <c r="K150" s="19">
        <f>ROUND(J150*E150,2)</f>
        <v>1427.91</v>
      </c>
      <c r="L150" s="135"/>
      <c r="M150" s="139">
        <v>1</v>
      </c>
      <c r="N150" s="139"/>
      <c r="O150" s="139"/>
      <c r="P150" s="37">
        <f>Q150+Q150*R150+S150+T150+U150</f>
        <v>605.1744</v>
      </c>
      <c r="Q150" s="99">
        <f>$Q$60</f>
        <v>85</v>
      </c>
      <c r="R150" s="163">
        <f>$R$60</f>
        <v>0</v>
      </c>
      <c r="S150" s="99">
        <f>$S$60</f>
        <v>165</v>
      </c>
      <c r="T150" s="99">
        <f>$T$60</f>
        <v>353.6744</v>
      </c>
      <c r="U150" s="99">
        <f>$U$60</f>
        <v>1.5</v>
      </c>
      <c r="V150" s="37">
        <f>P150*E150</f>
        <v>1298.099088</v>
      </c>
      <c r="W150" s="139"/>
      <c r="X150" s="139"/>
      <c r="Y150" s="139"/>
      <c r="Z150" s="139"/>
      <c r="AA150" s="139"/>
      <c r="AB150" s="139"/>
      <c r="AC150" s="139"/>
      <c r="AD150" s="139"/>
      <c r="AE150" s="139"/>
      <c r="AF150" s="140"/>
      <c r="AG150" s="140"/>
      <c r="AH150" s="140"/>
      <c r="AI150" s="140"/>
      <c r="AJ150" s="140"/>
      <c r="AK150" s="140"/>
      <c r="AL150" s="140"/>
      <c r="AM150" s="140"/>
      <c r="AN150" s="140"/>
      <c r="AO150" s="140"/>
      <c r="AP150" s="140"/>
      <c r="AQ150" s="140"/>
      <c r="AR150" s="140"/>
      <c r="AS150" s="140"/>
      <c r="AT150" s="140"/>
      <c r="AU150" s="140"/>
      <c r="AV150" s="140"/>
      <c r="AW150" s="140"/>
      <c r="AX150" s="140"/>
      <c r="AY150" s="140"/>
      <c r="AZ150" s="140"/>
      <c r="BA150" s="140"/>
      <c r="BB150" s="140"/>
      <c r="BC150" s="140"/>
      <c r="BD150" s="140"/>
      <c r="BE150" s="140"/>
    </row>
    <row r="151" s="119" customFormat="1" ht="24" customHeight="1" outlineLevel="1" spans="1:57">
      <c r="A151" s="132" t="s">
        <v>157</v>
      </c>
      <c r="B151" s="8" t="s">
        <v>158</v>
      </c>
      <c r="C151" s="8"/>
      <c r="D151" s="133"/>
      <c r="E151" s="134"/>
      <c r="F151" s="134"/>
      <c r="G151" s="134"/>
      <c r="H151" s="134"/>
      <c r="I151" s="134"/>
      <c r="J151" s="134"/>
      <c r="K151" s="11"/>
      <c r="L151" s="135"/>
      <c r="M151" s="139"/>
      <c r="N151" s="139"/>
      <c r="O151" s="139" t="str">
        <f>_xlfn.DISPIMG("ID_08529AA2B4754D7788EF3058DD12C0B7",1)</f>
        <v>=DISPIMG("ID_08529AA2B4754D7788EF3058DD12C0B7",1)</v>
      </c>
      <c r="P151" s="137"/>
      <c r="Q151" s="137"/>
      <c r="R151" s="138"/>
      <c r="S151" s="137"/>
      <c r="T151" s="137"/>
      <c r="U151" s="137"/>
      <c r="V151" s="137"/>
      <c r="W151" s="139"/>
      <c r="X151" s="139"/>
      <c r="Y151" s="139"/>
      <c r="Z151" s="139"/>
      <c r="AA151" s="139"/>
      <c r="AB151" s="139"/>
      <c r="AC151" s="139"/>
      <c r="AD151" s="139"/>
      <c r="AE151" s="139"/>
      <c r="AF151" s="140"/>
      <c r="AG151" s="140"/>
      <c r="AH151" s="140"/>
      <c r="AI151" s="140"/>
      <c r="AJ151" s="140"/>
      <c r="AK151" s="140"/>
      <c r="AL151" s="140"/>
      <c r="AM151" s="140"/>
      <c r="AN151" s="140"/>
      <c r="AO151" s="140"/>
      <c r="AP151" s="140"/>
      <c r="AQ151" s="140"/>
      <c r="AR151" s="140"/>
      <c r="AS151" s="140"/>
      <c r="AT151" s="140"/>
      <c r="AU151" s="140"/>
      <c r="AV151" s="140"/>
      <c r="AW151" s="140"/>
      <c r="AX151" s="140"/>
      <c r="AY151" s="140"/>
      <c r="AZ151" s="140"/>
      <c r="BA151" s="140"/>
      <c r="BB151" s="140"/>
      <c r="BC151" s="140"/>
      <c r="BD151" s="140"/>
      <c r="BE151" s="140"/>
    </row>
    <row r="152" s="119" customFormat="1" ht="24" customHeight="1" outlineLevel="1" spans="1:57">
      <c r="A152" s="141"/>
      <c r="B152" s="14" t="s">
        <v>60</v>
      </c>
      <c r="C152" s="15"/>
      <c r="D152" s="142"/>
      <c r="E152" s="143"/>
      <c r="F152" s="143"/>
      <c r="G152" s="143"/>
      <c r="H152" s="143"/>
      <c r="I152" s="143"/>
      <c r="J152" s="143"/>
      <c r="K152" s="144"/>
      <c r="L152" s="135"/>
      <c r="M152" s="139"/>
      <c r="N152" s="139"/>
      <c r="O152" s="139"/>
      <c r="P152" s="137"/>
      <c r="Q152" s="137"/>
      <c r="R152" s="138"/>
      <c r="S152" s="137"/>
      <c r="T152" s="137"/>
      <c r="U152" s="137"/>
      <c r="V152" s="137"/>
      <c r="W152" s="139"/>
      <c r="X152" s="139"/>
      <c r="Y152" s="139"/>
      <c r="Z152" s="139"/>
      <c r="AA152" s="139"/>
      <c r="AB152" s="139"/>
      <c r="AC152" s="139"/>
      <c r="AD152" s="139"/>
      <c r="AE152" s="139"/>
      <c r="AF152" s="140"/>
      <c r="AG152" s="140"/>
      <c r="AH152" s="140"/>
      <c r="AI152" s="140"/>
      <c r="AJ152" s="140"/>
      <c r="AK152" s="140"/>
      <c r="AL152" s="140"/>
      <c r="AM152" s="140"/>
      <c r="AN152" s="140"/>
      <c r="AO152" s="140"/>
      <c r="AP152" s="140"/>
      <c r="AQ152" s="140"/>
      <c r="AR152" s="140"/>
      <c r="AS152" s="140"/>
      <c r="AT152" s="140"/>
      <c r="AU152" s="140"/>
      <c r="AV152" s="140"/>
      <c r="AW152" s="140"/>
      <c r="AX152" s="140"/>
      <c r="AY152" s="140"/>
      <c r="AZ152" s="140"/>
      <c r="BA152" s="140"/>
      <c r="BB152" s="140"/>
      <c r="BC152" s="140"/>
      <c r="BD152" s="140"/>
      <c r="BE152" s="140"/>
    </row>
    <row r="153" s="119" customFormat="1" ht="96" customHeight="1" outlineLevel="2" spans="1:57">
      <c r="A153" s="162">
        <f>1+N(A152)</f>
        <v>1</v>
      </c>
      <c r="B153" s="14" t="s">
        <v>61</v>
      </c>
      <c r="C153" s="15" t="s">
        <v>62</v>
      </c>
      <c r="D153" s="142" t="s">
        <v>63</v>
      </c>
      <c r="E153" s="143">
        <v>17.64</v>
      </c>
      <c r="F153" s="143">
        <f>$F$7</f>
        <v>130</v>
      </c>
      <c r="G153" s="143">
        <f>$G$7</f>
        <v>628.3</v>
      </c>
      <c r="H153" s="17">
        <f>$H$7</f>
        <v>47.7</v>
      </c>
      <c r="I153" s="17">
        <f>(F153+G153+H153)*$I$3</f>
        <v>80.6</v>
      </c>
      <c r="J153" s="18">
        <f>ROUND(SUM(F153:I153),2)</f>
        <v>886.6</v>
      </c>
      <c r="K153" s="19">
        <f>ROUND(J153*E153,2)</f>
        <v>15639.62</v>
      </c>
      <c r="L153" s="135"/>
      <c r="M153" s="139">
        <v>1</v>
      </c>
      <c r="N153" s="139"/>
      <c r="O153" s="139"/>
      <c r="P153" s="37">
        <f>Q153+Q153*R153+S153+T153+U153</f>
        <v>806</v>
      </c>
      <c r="Q153" s="99">
        <f>$Q$7</f>
        <v>610</v>
      </c>
      <c r="R153" s="163">
        <f>$R$7</f>
        <v>0.03</v>
      </c>
      <c r="S153" s="99">
        <f>$S$7</f>
        <v>130</v>
      </c>
      <c r="T153" s="99">
        <f>$T$7</f>
        <v>46.2</v>
      </c>
      <c r="U153" s="99">
        <f>$U$7</f>
        <v>1.5</v>
      </c>
      <c r="V153" s="37">
        <f>P153*E153</f>
        <v>14217.84</v>
      </c>
      <c r="W153" s="139"/>
      <c r="X153" s="139"/>
      <c r="Y153" s="139"/>
      <c r="Z153" s="139"/>
      <c r="AA153" s="139"/>
      <c r="AB153" s="139"/>
      <c r="AC153" s="139"/>
      <c r="AD153" s="139"/>
      <c r="AE153" s="139"/>
      <c r="AF153" s="140"/>
      <c r="AG153" s="140"/>
      <c r="AH153" s="140"/>
      <c r="AI153" s="140"/>
      <c r="AJ153" s="140"/>
      <c r="AK153" s="140"/>
      <c r="AL153" s="140"/>
      <c r="AM153" s="140"/>
      <c r="AN153" s="140"/>
      <c r="AO153" s="140"/>
      <c r="AP153" s="140"/>
      <c r="AQ153" s="140"/>
      <c r="AR153" s="140"/>
      <c r="AS153" s="140"/>
      <c r="AT153" s="140"/>
      <c r="AU153" s="140"/>
      <c r="AV153" s="140"/>
      <c r="AW153" s="140"/>
      <c r="AX153" s="140"/>
      <c r="AY153" s="140"/>
      <c r="AZ153" s="140"/>
      <c r="BA153" s="140"/>
      <c r="BB153" s="140"/>
      <c r="BC153" s="140"/>
      <c r="BD153" s="140"/>
      <c r="BE153" s="140"/>
    </row>
    <row r="154" s="119" customFormat="1" ht="48" customHeight="1" outlineLevel="2" spans="1:57">
      <c r="A154" s="162">
        <f>1+N(A153)</f>
        <v>2</v>
      </c>
      <c r="B154" s="14" t="s">
        <v>71</v>
      </c>
      <c r="C154" s="15" t="s">
        <v>72</v>
      </c>
      <c r="D154" s="142" t="s">
        <v>63</v>
      </c>
      <c r="E154" s="143">
        <v>17.64</v>
      </c>
      <c r="F154" s="143">
        <f>$F$11</f>
        <v>40</v>
      </c>
      <c r="G154" s="143">
        <f>$G$11</f>
        <v>15</v>
      </c>
      <c r="H154" s="143">
        <f>$H$11</f>
        <v>0.8</v>
      </c>
      <c r="I154" s="17">
        <f>(F154+G154+H154)*$I$3</f>
        <v>5.58</v>
      </c>
      <c r="J154" s="18">
        <f>ROUND(SUM(F154:I154),2)</f>
        <v>61.38</v>
      </c>
      <c r="K154" s="19">
        <f>ROUND(J154*E154,2)</f>
        <v>1082.74</v>
      </c>
      <c r="L154" s="135"/>
      <c r="M154" s="139">
        <v>1</v>
      </c>
      <c r="N154" s="139"/>
      <c r="O154" s="139"/>
      <c r="P154" s="37">
        <f>Q154+Q154*R154+S154+T154+U154</f>
        <v>55.8</v>
      </c>
      <c r="Q154" s="99">
        <f>$Q$11</f>
        <v>15</v>
      </c>
      <c r="R154" s="163">
        <f>$R$11</f>
        <v>0</v>
      </c>
      <c r="S154" s="99">
        <f>$S$11</f>
        <v>40</v>
      </c>
      <c r="T154" s="99">
        <f>$T$11</f>
        <v>0.5</v>
      </c>
      <c r="U154" s="99">
        <f>$U$11</f>
        <v>0.3</v>
      </c>
      <c r="V154" s="37">
        <f>P154*E154</f>
        <v>984.312</v>
      </c>
      <c r="W154" s="139"/>
      <c r="X154" s="139"/>
      <c r="Y154" s="139"/>
      <c r="Z154" s="139"/>
      <c r="AA154" s="139"/>
      <c r="AB154" s="139"/>
      <c r="AC154" s="139"/>
      <c r="AD154" s="139"/>
      <c r="AE154" s="139"/>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c r="BA154" s="140"/>
      <c r="BB154" s="140"/>
      <c r="BC154" s="140"/>
      <c r="BD154" s="140"/>
      <c r="BE154" s="140"/>
    </row>
    <row r="155" s="119" customFormat="1" ht="24" customHeight="1" outlineLevel="1" spans="1:57">
      <c r="A155" s="141"/>
      <c r="B155" s="14" t="s">
        <v>73</v>
      </c>
      <c r="C155" s="15"/>
      <c r="D155" s="142"/>
      <c r="E155" s="143"/>
      <c r="F155" s="143"/>
      <c r="G155" s="143"/>
      <c r="H155" s="143"/>
      <c r="I155" s="143"/>
      <c r="J155" s="143"/>
      <c r="K155" s="144"/>
      <c r="L155" s="135"/>
      <c r="M155" s="139"/>
      <c r="N155" s="139"/>
      <c r="O155" s="139"/>
      <c r="P155" s="137"/>
      <c r="Q155" s="137"/>
      <c r="R155" s="138"/>
      <c r="S155" s="137"/>
      <c r="T155" s="137"/>
      <c r="U155" s="137"/>
      <c r="V155" s="137"/>
      <c r="W155" s="139"/>
      <c r="X155" s="139"/>
      <c r="Y155" s="139"/>
      <c r="Z155" s="139"/>
      <c r="AA155" s="139"/>
      <c r="AB155" s="139"/>
      <c r="AC155" s="139"/>
      <c r="AD155" s="139"/>
      <c r="AE155" s="139"/>
      <c r="AF155" s="140"/>
      <c r="AG155" s="140"/>
      <c r="AH155" s="140"/>
      <c r="AI155" s="140"/>
      <c r="AJ155" s="140"/>
      <c r="AK155" s="140"/>
      <c r="AL155" s="140"/>
      <c r="AM155" s="140"/>
      <c r="AN155" s="140"/>
      <c r="AO155" s="140"/>
      <c r="AP155" s="140"/>
      <c r="AQ155" s="140"/>
      <c r="AR155" s="140"/>
      <c r="AS155" s="140"/>
      <c r="AT155" s="140"/>
      <c r="AU155" s="140"/>
      <c r="AV155" s="140"/>
      <c r="AW155" s="140"/>
      <c r="AX155" s="140"/>
      <c r="AY155" s="140"/>
      <c r="AZ155" s="140"/>
      <c r="BA155" s="140"/>
      <c r="BB155" s="140"/>
      <c r="BC155" s="140"/>
      <c r="BD155" s="140"/>
      <c r="BE155" s="140"/>
    </row>
    <row r="156" s="119" customFormat="1" ht="72" customHeight="1" outlineLevel="2" spans="1:57">
      <c r="A156" s="162">
        <f>1+N(A155)</f>
        <v>1</v>
      </c>
      <c r="B156" s="164" t="s">
        <v>74</v>
      </c>
      <c r="C156" s="15" t="s">
        <v>75</v>
      </c>
      <c r="D156" s="142" t="s">
        <v>63</v>
      </c>
      <c r="E156" s="143">
        <v>8.611</v>
      </c>
      <c r="F156" s="143">
        <f>$F$13</f>
        <v>95</v>
      </c>
      <c r="G156" s="143">
        <f>$G$13</f>
        <v>813.75</v>
      </c>
      <c r="H156" s="143">
        <f>$H$13</f>
        <v>18.3</v>
      </c>
      <c r="I156" s="17">
        <f>(F156+G156+H156)*$I$3</f>
        <v>92.705</v>
      </c>
      <c r="J156" s="18">
        <f>ROUND(SUM(F156:I156),2)</f>
        <v>1019.76</v>
      </c>
      <c r="K156" s="19">
        <f>ROUND(J156*E156,2)</f>
        <v>8781.15</v>
      </c>
      <c r="L156" s="135"/>
      <c r="M156" s="139">
        <v>1</v>
      </c>
      <c r="N156" s="139"/>
      <c r="O156" s="139"/>
      <c r="P156" s="37">
        <f>Q156+Q156*R156+S156+T156+U156</f>
        <v>927.05</v>
      </c>
      <c r="Q156" s="99">
        <f>$Q$13</f>
        <v>775</v>
      </c>
      <c r="R156" s="163">
        <f>$R$13</f>
        <v>0.05</v>
      </c>
      <c r="S156" s="99">
        <f>$S$13</f>
        <v>95</v>
      </c>
      <c r="T156" s="99">
        <f>$T$13</f>
        <v>16.8</v>
      </c>
      <c r="U156" s="99">
        <f>$U$13</f>
        <v>1.5</v>
      </c>
      <c r="V156" s="37">
        <f>P156*E156</f>
        <v>7982.82755</v>
      </c>
      <c r="W156" s="139"/>
      <c r="X156" s="139"/>
      <c r="Y156" s="139"/>
      <c r="Z156" s="139"/>
      <c r="AA156" s="139"/>
      <c r="AB156" s="139"/>
      <c r="AC156" s="139"/>
      <c r="AD156" s="139"/>
      <c r="AE156" s="139"/>
      <c r="AF156" s="140"/>
      <c r="AG156" s="140"/>
      <c r="AH156" s="140"/>
      <c r="AI156" s="140"/>
      <c r="AJ156" s="140"/>
      <c r="AK156" s="140"/>
      <c r="AL156" s="140"/>
      <c r="AM156" s="140"/>
      <c r="AN156" s="140"/>
      <c r="AO156" s="140"/>
      <c r="AP156" s="140"/>
      <c r="AQ156" s="140"/>
      <c r="AR156" s="140"/>
      <c r="AS156" s="140"/>
      <c r="AT156" s="140"/>
      <c r="AU156" s="140"/>
      <c r="AV156" s="140"/>
      <c r="AW156" s="140"/>
      <c r="AX156" s="140"/>
      <c r="AY156" s="140"/>
      <c r="AZ156" s="140"/>
      <c r="BA156" s="140"/>
      <c r="BB156" s="140"/>
      <c r="BC156" s="140"/>
      <c r="BD156" s="140"/>
      <c r="BE156" s="140"/>
    </row>
    <row r="157" s="119" customFormat="1" ht="96" customHeight="1" outlineLevel="2" spans="1:57">
      <c r="A157" s="162">
        <f>1+N(A156)</f>
        <v>2</v>
      </c>
      <c r="B157" s="165" t="s">
        <v>76</v>
      </c>
      <c r="C157" s="166" t="s">
        <v>77</v>
      </c>
      <c r="D157" s="142" t="s">
        <v>63</v>
      </c>
      <c r="E157" s="143">
        <v>36.351</v>
      </c>
      <c r="F157" s="143">
        <f>$F$14</f>
        <v>145</v>
      </c>
      <c r="G157" s="143">
        <f>$G$14</f>
        <v>651</v>
      </c>
      <c r="H157" s="143">
        <f>$H$14</f>
        <v>113.55</v>
      </c>
      <c r="I157" s="17">
        <f>(F157+G157+H157)*$I$3</f>
        <v>90.955</v>
      </c>
      <c r="J157" s="18">
        <f>ROUND(SUM(F157:I157),2)</f>
        <v>1000.51</v>
      </c>
      <c r="K157" s="19">
        <f>ROUND(J157*E157,2)</f>
        <v>36369.54</v>
      </c>
      <c r="L157" s="135"/>
      <c r="M157" s="139">
        <v>1</v>
      </c>
      <c r="N157" s="139"/>
      <c r="O157" s="139"/>
      <c r="P157" s="37">
        <f>Q157+Q157*R157+S157+T157+U157</f>
        <v>909.55</v>
      </c>
      <c r="Q157" s="99">
        <f>$Q$14</f>
        <v>620</v>
      </c>
      <c r="R157" s="163">
        <f>$R$14</f>
        <v>0.05</v>
      </c>
      <c r="S157" s="99">
        <f>$S$14</f>
        <v>145</v>
      </c>
      <c r="T157" s="99">
        <f>$T$14</f>
        <v>111.75</v>
      </c>
      <c r="U157" s="99">
        <f>$U$14</f>
        <v>1.8</v>
      </c>
      <c r="V157" s="37">
        <f>P157*E157</f>
        <v>33063.05205</v>
      </c>
      <c r="W157" s="139"/>
      <c r="X157" s="139"/>
      <c r="Y157" s="139"/>
      <c r="Z157" s="139"/>
      <c r="AA157" s="139"/>
      <c r="AB157" s="139"/>
      <c r="AC157" s="139"/>
      <c r="AD157" s="139"/>
      <c r="AE157" s="139"/>
      <c r="AF157" s="140"/>
      <c r="AG157" s="140"/>
      <c r="AH157" s="140"/>
      <c r="AI157" s="140"/>
      <c r="AJ157" s="140"/>
      <c r="AK157" s="140"/>
      <c r="AL157" s="140"/>
      <c r="AM157" s="140"/>
      <c r="AN157" s="140"/>
      <c r="AO157" s="140"/>
      <c r="AP157" s="140"/>
      <c r="AQ157" s="140"/>
      <c r="AR157" s="140"/>
      <c r="AS157" s="140"/>
      <c r="AT157" s="140"/>
      <c r="AU157" s="140"/>
      <c r="AV157" s="140"/>
      <c r="AW157" s="140"/>
      <c r="AX157" s="140"/>
      <c r="AY157" s="140"/>
      <c r="AZ157" s="140"/>
      <c r="BA157" s="140"/>
      <c r="BB157" s="140"/>
      <c r="BC157" s="140"/>
      <c r="BD157" s="140"/>
      <c r="BE157" s="140"/>
    </row>
    <row r="158" s="119" customFormat="1" ht="48" customHeight="1" outlineLevel="2" spans="1:57">
      <c r="A158" s="162">
        <f>1+N(A157)</f>
        <v>3</v>
      </c>
      <c r="B158" s="165" t="s">
        <v>91</v>
      </c>
      <c r="C158" s="166" t="s">
        <v>92</v>
      </c>
      <c r="D158" s="165" t="s">
        <v>70</v>
      </c>
      <c r="E158" s="143">
        <v>15.272</v>
      </c>
      <c r="F158" s="143">
        <f>$F$22</f>
        <v>12</v>
      </c>
      <c r="G158" s="143">
        <f>$G$22</f>
        <v>25.75</v>
      </c>
      <c r="H158" s="143">
        <f>$H$22</f>
        <v>3.8</v>
      </c>
      <c r="I158" s="17">
        <f>(F158+G158+H158)*$I$3</f>
        <v>4.155</v>
      </c>
      <c r="J158" s="18">
        <f>ROUND(SUM(F158:I158),2)</f>
        <v>45.71</v>
      </c>
      <c r="K158" s="19">
        <f>ROUND(J158*E158,2)</f>
        <v>698.08</v>
      </c>
      <c r="L158" s="135"/>
      <c r="M158" s="139">
        <v>1</v>
      </c>
      <c r="N158" s="139"/>
      <c r="O158" s="139"/>
      <c r="P158" s="37">
        <f>Q158+Q158*R158+S158+T158+U158</f>
        <v>41.55</v>
      </c>
      <c r="Q158" s="99">
        <f>$Q$22</f>
        <v>25</v>
      </c>
      <c r="R158" s="163">
        <f>$R$22</f>
        <v>0.03</v>
      </c>
      <c r="S158" s="99">
        <f>$S$22</f>
        <v>12</v>
      </c>
      <c r="T158" s="99">
        <f>$T$22</f>
        <v>3.5</v>
      </c>
      <c r="U158" s="99">
        <f>$U$22</f>
        <v>0.3</v>
      </c>
      <c r="V158" s="37">
        <f>P158*E158</f>
        <v>634.5516</v>
      </c>
      <c r="W158" s="139"/>
      <c r="X158" s="139"/>
      <c r="Y158" s="139"/>
      <c r="Z158" s="139"/>
      <c r="AA158" s="139"/>
      <c r="AB158" s="139"/>
      <c r="AC158" s="139"/>
      <c r="AD158" s="139"/>
      <c r="AE158" s="139"/>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0"/>
      <c r="BC158" s="140"/>
      <c r="BD158" s="140"/>
      <c r="BE158" s="140"/>
    </row>
    <row r="159" s="119" customFormat="1" ht="48" customHeight="1" outlineLevel="2" spans="1:57">
      <c r="A159" s="162">
        <f>1+N(A158)</f>
        <v>4</v>
      </c>
      <c r="B159" s="165" t="s">
        <v>97</v>
      </c>
      <c r="C159" s="166" t="s">
        <v>98</v>
      </c>
      <c r="D159" s="165" t="s">
        <v>70</v>
      </c>
      <c r="E159" s="143">
        <v>15.272</v>
      </c>
      <c r="F159" s="143">
        <f>$F$25</f>
        <v>22</v>
      </c>
      <c r="G159" s="143">
        <f>$G$25</f>
        <v>58.195</v>
      </c>
      <c r="H159" s="143">
        <f>$H$25</f>
        <v>6.3</v>
      </c>
      <c r="I159" s="17">
        <f>(F159+G159+H159)*$I$3</f>
        <v>8.6495</v>
      </c>
      <c r="J159" s="18">
        <f>ROUND(SUM(F159:I159),2)</f>
        <v>95.14</v>
      </c>
      <c r="K159" s="19">
        <f>ROUND(J159*E159,2)</f>
        <v>1452.98</v>
      </c>
      <c r="L159" s="135"/>
      <c r="M159" s="139">
        <v>1</v>
      </c>
      <c r="N159" s="139"/>
      <c r="O159" s="139"/>
      <c r="P159" s="37">
        <f>Q159+Q159*R159+S159+T159+U159</f>
        <v>86.495</v>
      </c>
      <c r="Q159" s="99">
        <f>$Q$25</f>
        <v>56.5</v>
      </c>
      <c r="R159" s="163">
        <f>$R$25</f>
        <v>0.03</v>
      </c>
      <c r="S159" s="99">
        <f>$S$25</f>
        <v>22</v>
      </c>
      <c r="T159" s="99">
        <f>$T$25</f>
        <v>6</v>
      </c>
      <c r="U159" s="99">
        <f>$U$25</f>
        <v>0.3</v>
      </c>
      <c r="V159" s="37">
        <f>P159*E159</f>
        <v>1320.95164</v>
      </c>
      <c r="W159" s="139"/>
      <c r="X159" s="139"/>
      <c r="Y159" s="139"/>
      <c r="Z159" s="139"/>
      <c r="AA159" s="139"/>
      <c r="AB159" s="139"/>
      <c r="AC159" s="139"/>
      <c r="AD159" s="139"/>
      <c r="AE159" s="139"/>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140"/>
      <c r="BC159" s="140"/>
      <c r="BD159" s="140"/>
      <c r="BE159" s="140"/>
    </row>
    <row r="160" s="119" customFormat="1" ht="48" customHeight="1" outlineLevel="2" spans="1:57">
      <c r="A160" s="162">
        <f>1+N(A159)</f>
        <v>5</v>
      </c>
      <c r="B160" s="165" t="s">
        <v>99</v>
      </c>
      <c r="C160" s="166" t="s">
        <v>100</v>
      </c>
      <c r="D160" s="165" t="s">
        <v>70</v>
      </c>
      <c r="E160" s="143">
        <v>15.272</v>
      </c>
      <c r="F160" s="143">
        <f>$F$26</f>
        <v>12</v>
      </c>
      <c r="G160" s="143">
        <f>$G$26</f>
        <v>23.4325</v>
      </c>
      <c r="H160" s="143">
        <f>$H$26</f>
        <v>3.8</v>
      </c>
      <c r="I160" s="17">
        <f>(F160+G160+H160)*$I$3</f>
        <v>3.92325</v>
      </c>
      <c r="J160" s="18">
        <f>ROUND(SUM(F160:I160),2)</f>
        <v>43.16</v>
      </c>
      <c r="K160" s="19">
        <f>ROUND(J160*E160,2)</f>
        <v>659.14</v>
      </c>
      <c r="L160" s="135"/>
      <c r="M160" s="139">
        <v>1</v>
      </c>
      <c r="N160" s="139"/>
      <c r="O160" s="139"/>
      <c r="P160" s="37">
        <f>Q160+Q160*R160+S160+T160+U160</f>
        <v>39.2325</v>
      </c>
      <c r="Q160" s="99">
        <f>$Q$26</f>
        <v>22.75</v>
      </c>
      <c r="R160" s="163">
        <f>$R$26</f>
        <v>0.03</v>
      </c>
      <c r="S160" s="99">
        <f>$S$26</f>
        <v>12</v>
      </c>
      <c r="T160" s="99">
        <f>$T$26</f>
        <v>3.5</v>
      </c>
      <c r="U160" s="99">
        <f>$U$26</f>
        <v>0.3</v>
      </c>
      <c r="V160" s="37">
        <f>P160*E160</f>
        <v>599.15874</v>
      </c>
      <c r="W160" s="139"/>
      <c r="X160" s="139"/>
      <c r="Y160" s="139"/>
      <c r="Z160" s="139"/>
      <c r="AA160" s="139"/>
      <c r="AB160" s="139"/>
      <c r="AC160" s="139"/>
      <c r="AD160" s="139"/>
      <c r="AE160" s="139"/>
      <c r="AF160" s="140"/>
      <c r="AG160" s="140"/>
      <c r="AH160" s="140"/>
      <c r="AI160" s="140"/>
      <c r="AJ160" s="140"/>
      <c r="AK160" s="140"/>
      <c r="AL160" s="140"/>
      <c r="AM160" s="140"/>
      <c r="AN160" s="140"/>
      <c r="AO160" s="140"/>
      <c r="AP160" s="140"/>
      <c r="AQ160" s="140"/>
      <c r="AR160" s="140"/>
      <c r="AS160" s="140"/>
      <c r="AT160" s="140"/>
      <c r="AU160" s="140"/>
      <c r="AV160" s="140"/>
      <c r="AW160" s="140"/>
      <c r="AX160" s="140"/>
      <c r="AY160" s="140"/>
      <c r="AZ160" s="140"/>
      <c r="BA160" s="140"/>
      <c r="BB160" s="140"/>
      <c r="BC160" s="140"/>
      <c r="BD160" s="140"/>
      <c r="BE160" s="140"/>
    </row>
    <row r="161" s="119" customFormat="1" ht="24" customHeight="1" outlineLevel="1" spans="1:57">
      <c r="A161" s="141"/>
      <c r="B161" s="14" t="s">
        <v>101</v>
      </c>
      <c r="C161" s="15"/>
      <c r="D161" s="142"/>
      <c r="E161" s="143"/>
      <c r="F161" s="143"/>
      <c r="G161" s="143"/>
      <c r="H161" s="143"/>
      <c r="I161" s="143"/>
      <c r="J161" s="143"/>
      <c r="K161" s="144"/>
      <c r="L161" s="135"/>
      <c r="M161" s="139"/>
      <c r="N161" s="139"/>
      <c r="O161" s="139"/>
      <c r="P161" s="137"/>
      <c r="Q161" s="137"/>
      <c r="R161" s="138"/>
      <c r="S161" s="137"/>
      <c r="T161" s="137"/>
      <c r="U161" s="137"/>
      <c r="V161" s="137"/>
      <c r="W161" s="139"/>
      <c r="X161" s="139"/>
      <c r="Y161" s="139"/>
      <c r="Z161" s="139"/>
      <c r="AA161" s="139"/>
      <c r="AB161" s="139"/>
      <c r="AC161" s="139"/>
      <c r="AD161" s="139"/>
      <c r="AE161" s="139"/>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row>
    <row r="162" s="119" customFormat="1" ht="96" customHeight="1" outlineLevel="2" spans="1:57">
      <c r="A162" s="162">
        <f>1+N(A161)</f>
        <v>1</v>
      </c>
      <c r="B162" s="14" t="s">
        <v>102</v>
      </c>
      <c r="C162" s="167" t="s">
        <v>103</v>
      </c>
      <c r="D162" s="142" t="s">
        <v>63</v>
      </c>
      <c r="E162" s="143">
        <v>17.64</v>
      </c>
      <c r="F162" s="143">
        <f>$F$28</f>
        <v>70</v>
      </c>
      <c r="G162" s="143">
        <f>$G$28</f>
        <v>0</v>
      </c>
      <c r="H162" s="143">
        <f>$H$28</f>
        <v>66.711</v>
      </c>
      <c r="I162" s="17">
        <f>(F162+G162+H162)*$I$3</f>
        <v>13.6711</v>
      </c>
      <c r="J162" s="18">
        <f>ROUND(SUM(F162:I162),2)</f>
        <v>150.38</v>
      </c>
      <c r="K162" s="19">
        <f>ROUND(J162*E162,2)</f>
        <v>2652.7</v>
      </c>
      <c r="L162" s="135"/>
      <c r="M162" s="139">
        <v>1</v>
      </c>
      <c r="N162" s="139"/>
      <c r="O162" s="139"/>
      <c r="P162" s="37">
        <f>Q162+Q162*R162+S162+T162+U162</f>
        <v>136.711</v>
      </c>
      <c r="Q162" s="99">
        <f>$Q$28</f>
        <v>0</v>
      </c>
      <c r="R162" s="163">
        <f>$R$28</f>
        <v>0.01</v>
      </c>
      <c r="S162" s="99">
        <f>$S$28</f>
        <v>70</v>
      </c>
      <c r="T162" s="99">
        <f>$T$28</f>
        <v>64.711</v>
      </c>
      <c r="U162" s="99">
        <f>$U$28</f>
        <v>2</v>
      </c>
      <c r="V162" s="37">
        <f>P162*E162</f>
        <v>2411.58204</v>
      </c>
      <c r="W162" s="139"/>
      <c r="X162" s="139"/>
      <c r="Y162" s="139"/>
      <c r="Z162" s="139"/>
      <c r="AA162" s="139"/>
      <c r="AB162" s="139"/>
      <c r="AC162" s="139"/>
      <c r="AD162" s="139"/>
      <c r="AE162" s="139"/>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row>
    <row r="163" s="119" customFormat="1" ht="72" customHeight="1" outlineLevel="2" spans="1:57">
      <c r="A163" s="162">
        <f>1+N(A162)</f>
        <v>2</v>
      </c>
      <c r="B163" s="14" t="s">
        <v>110</v>
      </c>
      <c r="C163" s="167" t="s">
        <v>111</v>
      </c>
      <c r="D163" s="142" t="s">
        <v>63</v>
      </c>
      <c r="E163" s="143">
        <v>17.64</v>
      </c>
      <c r="F163" s="143">
        <f>$F$32</f>
        <v>45</v>
      </c>
      <c r="G163" s="143">
        <f>$G$32</f>
        <v>85.5</v>
      </c>
      <c r="H163" s="143">
        <f>$H$32</f>
        <v>7.3</v>
      </c>
      <c r="I163" s="17">
        <f>(F163+G163+H163)*$I$3</f>
        <v>13.78</v>
      </c>
      <c r="J163" s="18">
        <f>ROUND(SUM(F163:I163),2)</f>
        <v>151.58</v>
      </c>
      <c r="K163" s="19">
        <f>ROUND(J163*E163,2)</f>
        <v>2673.87</v>
      </c>
      <c r="L163" s="135"/>
      <c r="M163" s="139">
        <v>1</v>
      </c>
      <c r="N163" s="139"/>
      <c r="O163" s="139"/>
      <c r="P163" s="37">
        <f>Q163+Q163*R163+S163+T163+U163</f>
        <v>137.8</v>
      </c>
      <c r="Q163" s="99">
        <f>$Q$32</f>
        <v>85.5</v>
      </c>
      <c r="R163" s="163">
        <f>$R$32</f>
        <v>0</v>
      </c>
      <c r="S163" s="99">
        <f>$S$32</f>
        <v>45</v>
      </c>
      <c r="T163" s="99">
        <f>$T$32</f>
        <v>6.5</v>
      </c>
      <c r="U163" s="99">
        <f>$U$32</f>
        <v>0.8</v>
      </c>
      <c r="V163" s="37">
        <f>P163*E163</f>
        <v>2430.792</v>
      </c>
      <c r="W163" s="139"/>
      <c r="X163" s="139"/>
      <c r="Y163" s="139"/>
      <c r="Z163" s="139"/>
      <c r="AA163" s="139"/>
      <c r="AB163" s="139"/>
      <c r="AC163" s="139"/>
      <c r="AD163" s="139"/>
      <c r="AE163" s="139"/>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row>
    <row r="164" s="119" customFormat="1" ht="24" customHeight="1" outlineLevel="1" spans="1:57">
      <c r="A164" s="141"/>
      <c r="B164" s="14" t="s">
        <v>112</v>
      </c>
      <c r="C164" s="15"/>
      <c r="D164" s="142"/>
      <c r="E164" s="143"/>
      <c r="F164" s="143"/>
      <c r="G164" s="143"/>
      <c r="H164" s="143"/>
      <c r="I164" s="143"/>
      <c r="J164" s="143"/>
      <c r="K164" s="144"/>
      <c r="L164" s="135"/>
      <c r="M164" s="139"/>
      <c r="N164" s="139"/>
      <c r="O164" s="139"/>
      <c r="P164" s="137"/>
      <c r="Q164" s="137"/>
      <c r="R164" s="138"/>
      <c r="S164" s="137"/>
      <c r="T164" s="137"/>
      <c r="U164" s="137"/>
      <c r="V164" s="137"/>
      <c r="W164" s="139"/>
      <c r="X164" s="139"/>
      <c r="Y164" s="139"/>
      <c r="Z164" s="139"/>
      <c r="AA164" s="139"/>
      <c r="AB164" s="139"/>
      <c r="AC164" s="139"/>
      <c r="AD164" s="139"/>
      <c r="AE164" s="139"/>
      <c r="AF164" s="140"/>
      <c r="AG164" s="140"/>
      <c r="AH164" s="140"/>
      <c r="AI164" s="140"/>
      <c r="AJ164" s="140"/>
      <c r="AK164" s="140"/>
      <c r="AL164" s="140"/>
      <c r="AM164" s="140"/>
      <c r="AN164" s="140"/>
      <c r="AO164" s="140"/>
      <c r="AP164" s="140"/>
      <c r="AQ164" s="140"/>
      <c r="AR164" s="140"/>
      <c r="AS164" s="140"/>
      <c r="AT164" s="140"/>
      <c r="AU164" s="140"/>
      <c r="AV164" s="140"/>
      <c r="AW164" s="140"/>
      <c r="AX164" s="140"/>
      <c r="AY164" s="140"/>
      <c r="AZ164" s="140"/>
      <c r="BA164" s="140"/>
      <c r="BB164" s="140"/>
      <c r="BC164" s="140"/>
      <c r="BD164" s="140"/>
      <c r="BE164" s="140"/>
    </row>
    <row r="165" s="119" customFormat="1" ht="24" customHeight="1" outlineLevel="1" spans="1:57">
      <c r="A165" s="132" t="s">
        <v>159</v>
      </c>
      <c r="B165" s="8" t="s">
        <v>160</v>
      </c>
      <c r="C165" s="8"/>
      <c r="D165" s="133"/>
      <c r="E165" s="134"/>
      <c r="F165" s="134"/>
      <c r="G165" s="134"/>
      <c r="H165" s="134"/>
      <c r="I165" s="134"/>
      <c r="J165" s="134"/>
      <c r="K165" s="11"/>
      <c r="L165" s="135"/>
      <c r="M165" s="139"/>
      <c r="N165" s="139"/>
      <c r="O165" s="139" t="str">
        <f>_xlfn.DISPIMG("ID_08529AA2B4754D7788EF3058DD12C0B7",1)</f>
        <v>=DISPIMG("ID_08529AA2B4754D7788EF3058DD12C0B7",1)</v>
      </c>
      <c r="P165" s="137"/>
      <c r="Q165" s="137"/>
      <c r="R165" s="138"/>
      <c r="S165" s="137"/>
      <c r="T165" s="137"/>
      <c r="U165" s="137"/>
      <c r="V165" s="137"/>
      <c r="W165" s="139"/>
      <c r="X165" s="139"/>
      <c r="Y165" s="139"/>
      <c r="Z165" s="139"/>
      <c r="AA165" s="139"/>
      <c r="AB165" s="139"/>
      <c r="AC165" s="139"/>
      <c r="AD165" s="139"/>
      <c r="AE165" s="139"/>
      <c r="AF165" s="140"/>
      <c r="AG165" s="140"/>
      <c r="AH165" s="140"/>
      <c r="AI165" s="140"/>
      <c r="AJ165" s="140"/>
      <c r="AK165" s="140"/>
      <c r="AL165" s="140"/>
      <c r="AM165" s="140"/>
      <c r="AN165" s="140"/>
      <c r="AO165" s="140"/>
      <c r="AP165" s="140"/>
      <c r="AQ165" s="140"/>
      <c r="AR165" s="140"/>
      <c r="AS165" s="140"/>
      <c r="AT165" s="140"/>
      <c r="AU165" s="140"/>
      <c r="AV165" s="140"/>
      <c r="AW165" s="140"/>
      <c r="AX165" s="140"/>
      <c r="AY165" s="140"/>
      <c r="AZ165" s="140"/>
      <c r="BA165" s="140"/>
      <c r="BB165" s="140"/>
      <c r="BC165" s="140"/>
      <c r="BD165" s="140"/>
      <c r="BE165" s="140"/>
    </row>
    <row r="166" s="119" customFormat="1" ht="24" customHeight="1" outlineLevel="1" spans="1:57">
      <c r="A166" s="141"/>
      <c r="B166" s="165" t="s">
        <v>161</v>
      </c>
      <c r="C166" s="15"/>
      <c r="D166" s="142"/>
      <c r="E166" s="143"/>
      <c r="F166" s="143"/>
      <c r="G166" s="143"/>
      <c r="H166" s="143"/>
      <c r="I166" s="143"/>
      <c r="J166" s="143"/>
      <c r="K166" s="144"/>
      <c r="L166" s="135"/>
      <c r="M166" s="139"/>
      <c r="N166" s="139"/>
      <c r="O166" s="139"/>
      <c r="P166" s="137"/>
      <c r="Q166" s="137"/>
      <c r="R166" s="138"/>
      <c r="S166" s="137"/>
      <c r="T166" s="137"/>
      <c r="U166" s="137"/>
      <c r="V166" s="137"/>
      <c r="W166" s="139"/>
      <c r="X166" s="139"/>
      <c r="Y166" s="139"/>
      <c r="Z166" s="139"/>
      <c r="AA166" s="139"/>
      <c r="AB166" s="139"/>
      <c r="AC166" s="139"/>
      <c r="AD166" s="139"/>
      <c r="AE166" s="139"/>
      <c r="AF166" s="140"/>
      <c r="AG166" s="140"/>
      <c r="AH166" s="140"/>
      <c r="AI166" s="140"/>
      <c r="AJ166" s="140"/>
      <c r="AK166" s="140"/>
      <c r="AL166" s="140"/>
      <c r="AM166" s="140"/>
      <c r="AN166" s="140"/>
      <c r="AO166" s="140"/>
      <c r="AP166" s="140"/>
      <c r="AQ166" s="140"/>
      <c r="AR166" s="140"/>
      <c r="AS166" s="140"/>
      <c r="AT166" s="140"/>
      <c r="AU166" s="140"/>
      <c r="AV166" s="140"/>
      <c r="AW166" s="140"/>
      <c r="AX166" s="140"/>
      <c r="AY166" s="140"/>
      <c r="AZ166" s="140"/>
      <c r="BA166" s="140"/>
      <c r="BB166" s="140"/>
      <c r="BC166" s="140"/>
      <c r="BD166" s="140"/>
      <c r="BE166" s="140"/>
    </row>
    <row r="167" s="119" customFormat="1" ht="72" customHeight="1" outlineLevel="2" spans="1:57">
      <c r="A167" s="145">
        <f>1+N(A166)</f>
        <v>1</v>
      </c>
      <c r="B167" s="159" t="s">
        <v>162</v>
      </c>
      <c r="C167" s="160" t="s">
        <v>163</v>
      </c>
      <c r="D167" s="148" t="s">
        <v>63</v>
      </c>
      <c r="E167" s="149">
        <f>60.466*4.07</f>
        <v>246.09662</v>
      </c>
      <c r="F167" s="149">
        <f>S167*$S$1</f>
        <v>65</v>
      </c>
      <c r="G167" s="149">
        <f>Q167*(1+R167)*$Q$1</f>
        <v>78.275</v>
      </c>
      <c r="H167" s="149">
        <f>(T167+U167)*$T$1</f>
        <v>17</v>
      </c>
      <c r="I167" s="150">
        <f>(F167+G167+H167)*$I$3</f>
        <v>16.0275</v>
      </c>
      <c r="J167" s="151">
        <f>ROUND(SUM(F167:I167),2)</f>
        <v>176.3</v>
      </c>
      <c r="K167" s="152">
        <f>ROUND(J167*E167,2)</f>
        <v>43386.83</v>
      </c>
      <c r="L167" s="153"/>
      <c r="M167" s="139">
        <v>1</v>
      </c>
      <c r="N167" s="139"/>
      <c r="O167" s="139"/>
      <c r="P167" s="37">
        <f>Q167+Q167*R167+S167+T167+U167</f>
        <v>160.275</v>
      </c>
      <c r="Q167" s="71">
        <v>77.5</v>
      </c>
      <c r="R167" s="157">
        <v>0.01</v>
      </c>
      <c r="S167" s="71">
        <v>65</v>
      </c>
      <c r="T167" s="71">
        <v>15.5</v>
      </c>
      <c r="U167" s="71">
        <v>1.5</v>
      </c>
      <c r="V167" s="37">
        <f>P167*E167</f>
        <v>39443.1357705</v>
      </c>
      <c r="W167" s="139"/>
      <c r="X167" s="139"/>
      <c r="Y167" s="139"/>
      <c r="Z167" s="139"/>
      <c r="AA167" s="139"/>
      <c r="AB167" s="139"/>
      <c r="AC167" s="139"/>
      <c r="AD167" s="139"/>
      <c r="AE167" s="139"/>
      <c r="AF167" s="140"/>
      <c r="AG167" s="140"/>
      <c r="AH167" s="140"/>
      <c r="AI167" s="140"/>
      <c r="AJ167" s="140"/>
      <c r="AK167" s="140"/>
      <c r="AL167" s="140"/>
      <c r="AM167" s="140"/>
      <c r="AN167" s="140"/>
      <c r="AO167" s="140"/>
      <c r="AP167" s="140"/>
      <c r="AQ167" s="140"/>
      <c r="AR167" s="140"/>
      <c r="AS167" s="140"/>
      <c r="AT167" s="140"/>
      <c r="AU167" s="140"/>
      <c r="AV167" s="140"/>
      <c r="AW167" s="140"/>
      <c r="AX167" s="140"/>
      <c r="AY167" s="140"/>
      <c r="AZ167" s="140"/>
      <c r="BA167" s="140"/>
      <c r="BB167" s="140"/>
      <c r="BC167" s="140"/>
      <c r="BD167" s="140"/>
      <c r="BE167" s="140"/>
    </row>
    <row r="168" s="119" customFormat="1" ht="24" customHeight="1" spans="1:57">
      <c r="A168" s="132" t="s">
        <v>164</v>
      </c>
      <c r="B168" s="8" t="s">
        <v>26</v>
      </c>
      <c r="C168" s="8"/>
      <c r="D168" s="133"/>
      <c r="E168" s="134"/>
      <c r="F168" s="134"/>
      <c r="G168" s="134"/>
      <c r="H168" s="134"/>
      <c r="I168" s="134"/>
      <c r="J168" s="134"/>
      <c r="K168" s="11">
        <f>SUM(K169:K335)</f>
        <v>818850.500000001</v>
      </c>
      <c r="L168" s="135"/>
      <c r="M168" s="139"/>
      <c r="N168" s="139"/>
      <c r="O168" s="170"/>
      <c r="P168" s="137"/>
      <c r="Q168" s="137"/>
      <c r="R168" s="138"/>
      <c r="S168" s="137"/>
      <c r="T168" s="137"/>
      <c r="U168" s="137"/>
      <c r="V168" s="137"/>
      <c r="W168" s="139"/>
      <c r="X168" s="139"/>
      <c r="Y168" s="139"/>
      <c r="Z168" s="139"/>
      <c r="AA168" s="139"/>
      <c r="AB168" s="139"/>
      <c r="AC168" s="139"/>
      <c r="AD168" s="139"/>
      <c r="AE168" s="139"/>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c r="BB168" s="140"/>
      <c r="BC168" s="140"/>
      <c r="BD168" s="140"/>
      <c r="BE168" s="140"/>
    </row>
    <row r="169" s="119" customFormat="1" ht="24" customHeight="1" outlineLevel="1" spans="1:57">
      <c r="A169" s="132" t="s">
        <v>58</v>
      </c>
      <c r="B169" s="8" t="s">
        <v>165</v>
      </c>
      <c r="C169" s="8"/>
      <c r="D169" s="133"/>
      <c r="E169" s="134"/>
      <c r="F169" s="134"/>
      <c r="G169" s="134"/>
      <c r="H169" s="134"/>
      <c r="I169" s="134"/>
      <c r="J169" s="134"/>
      <c r="K169" s="11"/>
      <c r="L169" s="135"/>
      <c r="M169" s="139"/>
      <c r="N169" s="139"/>
      <c r="O169" s="170" t="str">
        <f>_xlfn.DISPIMG("ID_52E6D4475B5A423CA29DFA7417D3B958",1)</f>
        <v>=DISPIMG("ID_52E6D4475B5A423CA29DFA7417D3B958",1)</v>
      </c>
      <c r="P169" s="137"/>
      <c r="Q169" s="137"/>
      <c r="R169" s="138"/>
      <c r="S169" s="137"/>
      <c r="T169" s="137"/>
      <c r="U169" s="137"/>
      <c r="V169" s="137"/>
      <c r="W169" s="139"/>
      <c r="X169" s="139"/>
      <c r="Y169" s="139"/>
      <c r="Z169" s="139"/>
      <c r="AA169" s="139"/>
      <c r="AB169" s="139"/>
      <c r="AC169" s="139"/>
      <c r="AD169" s="139"/>
      <c r="AE169" s="139"/>
      <c r="AF169" s="140"/>
      <c r="AG169" s="140"/>
      <c r="AH169" s="140"/>
      <c r="AI169" s="140"/>
      <c r="AJ169" s="140"/>
      <c r="AK169" s="140"/>
      <c r="AL169" s="140"/>
      <c r="AM169" s="140"/>
      <c r="AN169" s="140"/>
      <c r="AO169" s="140"/>
      <c r="AP169" s="140"/>
      <c r="AQ169" s="140"/>
      <c r="AR169" s="140"/>
      <c r="AS169" s="140"/>
      <c r="AT169" s="140"/>
      <c r="AU169" s="140"/>
      <c r="AV169" s="140"/>
      <c r="AW169" s="140"/>
      <c r="AX169" s="140"/>
      <c r="AY169" s="140"/>
      <c r="AZ169" s="140"/>
      <c r="BA169" s="140"/>
      <c r="BB169" s="140"/>
      <c r="BC169" s="140"/>
      <c r="BD169" s="140"/>
      <c r="BE169" s="140"/>
    </row>
    <row r="170" s="119" customFormat="1" ht="24" customHeight="1" outlineLevel="1" spans="1:57">
      <c r="A170" s="141"/>
      <c r="B170" s="14" t="s">
        <v>60</v>
      </c>
      <c r="C170" s="15"/>
      <c r="D170" s="142"/>
      <c r="E170" s="143"/>
      <c r="F170" s="143"/>
      <c r="G170" s="143"/>
      <c r="H170" s="143"/>
      <c r="I170" s="143"/>
      <c r="J170" s="143"/>
      <c r="K170" s="144"/>
      <c r="L170" s="135"/>
      <c r="M170" s="139"/>
      <c r="N170" s="139"/>
      <c r="O170" s="139"/>
      <c r="P170" s="137"/>
      <c r="Q170" s="137"/>
      <c r="R170" s="138"/>
      <c r="S170" s="137"/>
      <c r="T170" s="137"/>
      <c r="U170" s="137"/>
      <c r="V170" s="137"/>
      <c r="W170" s="139"/>
      <c r="X170" s="139"/>
      <c r="Y170" s="139"/>
      <c r="Z170" s="139"/>
      <c r="AA170" s="139"/>
      <c r="AB170" s="139"/>
      <c r="AC170" s="139"/>
      <c r="AD170" s="139"/>
      <c r="AE170" s="139"/>
      <c r="AF170" s="140"/>
      <c r="AG170" s="140"/>
      <c r="AH170" s="140"/>
      <c r="AI170" s="140"/>
      <c r="AJ170" s="140"/>
      <c r="AK170" s="140"/>
      <c r="AL170" s="140"/>
      <c r="AM170" s="140"/>
      <c r="AN170" s="140"/>
      <c r="AO170" s="140"/>
      <c r="AP170" s="140"/>
      <c r="AQ170" s="140"/>
      <c r="AR170" s="140"/>
      <c r="AS170" s="140"/>
      <c r="AT170" s="140"/>
      <c r="AU170" s="140"/>
      <c r="AV170" s="140"/>
      <c r="AW170" s="140"/>
      <c r="AX170" s="140"/>
      <c r="AY170" s="140"/>
      <c r="AZ170" s="140"/>
      <c r="BA170" s="140"/>
      <c r="BB170" s="140"/>
      <c r="BC170" s="140"/>
      <c r="BD170" s="140"/>
      <c r="BE170" s="140"/>
    </row>
    <row r="171" s="119" customFormat="1" ht="96" customHeight="1" outlineLevel="2" spans="1:57">
      <c r="A171" s="145">
        <f>1+N(A170)</f>
        <v>1</v>
      </c>
      <c r="B171" s="146" t="s">
        <v>166</v>
      </c>
      <c r="C171" s="147" t="s">
        <v>167</v>
      </c>
      <c r="D171" s="148" t="s">
        <v>63</v>
      </c>
      <c r="E171" s="149">
        <v>61.55</v>
      </c>
      <c r="F171" s="149">
        <f>S171*$S$1</f>
        <v>80</v>
      </c>
      <c r="G171" s="149">
        <f>Q171*(1+R171)*$Q$1</f>
        <v>46.35</v>
      </c>
      <c r="H171" s="150">
        <f>(T171+U171)*$T$1</f>
        <v>50.6</v>
      </c>
      <c r="I171" s="150">
        <f>(F171+G171+H171)*$I$3</f>
        <v>17.695</v>
      </c>
      <c r="J171" s="151">
        <f>ROUND(SUM(F171:I171),2)</f>
        <v>194.65</v>
      </c>
      <c r="K171" s="152">
        <f>ROUND(J171*E171,2)</f>
        <v>11980.71</v>
      </c>
      <c r="L171" s="153"/>
      <c r="M171" s="139">
        <v>1</v>
      </c>
      <c r="N171" s="139"/>
      <c r="O171" s="139"/>
      <c r="P171" s="37">
        <f>Q171+Q171*R171+S171+T171+U171</f>
        <v>176.95</v>
      </c>
      <c r="Q171" s="71">
        <v>45</v>
      </c>
      <c r="R171" s="157">
        <v>0.03</v>
      </c>
      <c r="S171" s="71">
        <v>80</v>
      </c>
      <c r="T171" s="71">
        <v>50.1</v>
      </c>
      <c r="U171" s="71">
        <v>0.5</v>
      </c>
      <c r="V171" s="37">
        <f>P171*E171</f>
        <v>10891.2725</v>
      </c>
      <c r="W171" s="139"/>
      <c r="X171" s="139"/>
      <c r="Y171" s="139"/>
      <c r="Z171" s="139"/>
      <c r="AA171" s="139"/>
      <c r="AB171" s="139"/>
      <c r="AC171" s="139"/>
      <c r="AD171" s="139"/>
      <c r="AE171" s="139"/>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row>
    <row r="172" s="119" customFormat="1" ht="60" customHeight="1" outlineLevel="2" spans="1:57">
      <c r="A172" s="145">
        <f>1+N(A171)</f>
        <v>2</v>
      </c>
      <c r="B172" s="146" t="s">
        <v>168</v>
      </c>
      <c r="C172" s="147" t="s">
        <v>169</v>
      </c>
      <c r="D172" s="148" t="s">
        <v>63</v>
      </c>
      <c r="E172" s="149">
        <v>2.78</v>
      </c>
      <c r="F172" s="149">
        <f>S172*$S$1</f>
        <v>28</v>
      </c>
      <c r="G172" s="149">
        <f>Q172*(1+R172)*$Q$1</f>
        <v>0</v>
      </c>
      <c r="H172" s="149">
        <f>(T172+U172)*$T$1</f>
        <v>42.3</v>
      </c>
      <c r="I172" s="150">
        <f>(F172+G172+H172)*$I$3</f>
        <v>7.03</v>
      </c>
      <c r="J172" s="151">
        <f>ROUND(SUM(F172:I172),2)</f>
        <v>77.33</v>
      </c>
      <c r="K172" s="152">
        <f>ROUND(J172*E172,2)</f>
        <v>214.98</v>
      </c>
      <c r="L172" s="153"/>
      <c r="M172" s="139">
        <v>1</v>
      </c>
      <c r="N172" s="139"/>
      <c r="O172" s="139"/>
      <c r="P172" s="37">
        <f>Q172+Q172*R172+S172+T172+U172</f>
        <v>70.3</v>
      </c>
      <c r="Q172" s="71"/>
      <c r="R172" s="157">
        <v>0</v>
      </c>
      <c r="S172" s="71">
        <v>28</v>
      </c>
      <c r="T172" s="71">
        <v>42</v>
      </c>
      <c r="U172" s="71">
        <v>0.3</v>
      </c>
      <c r="V172" s="37">
        <f>P172*E172</f>
        <v>195.434</v>
      </c>
      <c r="W172" s="139"/>
      <c r="X172" s="139"/>
      <c r="Y172" s="139"/>
      <c r="Z172" s="139"/>
      <c r="AA172" s="139"/>
      <c r="AB172" s="139"/>
      <c r="AC172" s="139"/>
      <c r="AD172" s="139"/>
      <c r="AE172" s="139"/>
      <c r="AF172" s="140"/>
      <c r="AG172" s="140"/>
      <c r="AH172" s="140"/>
      <c r="AI172" s="140"/>
      <c r="AJ172" s="140"/>
      <c r="AK172" s="140"/>
      <c r="AL172" s="140"/>
      <c r="AM172" s="140"/>
      <c r="AN172" s="140"/>
      <c r="AO172" s="140"/>
      <c r="AP172" s="140"/>
      <c r="AQ172" s="140"/>
      <c r="AR172" s="140"/>
      <c r="AS172" s="140"/>
      <c r="AT172" s="140"/>
      <c r="AU172" s="140"/>
      <c r="AV172" s="140"/>
      <c r="AW172" s="140"/>
      <c r="AX172" s="140"/>
      <c r="AY172" s="140"/>
      <c r="AZ172" s="140"/>
      <c r="BA172" s="140"/>
      <c r="BB172" s="140"/>
      <c r="BC172" s="140"/>
      <c r="BD172" s="140"/>
      <c r="BE172" s="140"/>
    </row>
    <row r="173" s="119" customFormat="1" ht="36" customHeight="1" outlineLevel="2" spans="1:57">
      <c r="A173" s="162">
        <f>1+N(A172)</f>
        <v>3</v>
      </c>
      <c r="B173" s="14" t="s">
        <v>68</v>
      </c>
      <c r="C173" s="15" t="s">
        <v>69</v>
      </c>
      <c r="D173" s="142" t="s">
        <v>70</v>
      </c>
      <c r="E173" s="143">
        <v>1.65</v>
      </c>
      <c r="F173" s="143">
        <f>$F$10</f>
        <v>12</v>
      </c>
      <c r="G173" s="143">
        <f>$G$10</f>
        <v>19.57</v>
      </c>
      <c r="H173" s="143">
        <f>$H$10</f>
        <v>0.5</v>
      </c>
      <c r="I173" s="17">
        <f>(F173+G173+H173)*$I$3</f>
        <v>3.207</v>
      </c>
      <c r="J173" s="18">
        <f>ROUND(SUM(F173:I173),2)</f>
        <v>35.28</v>
      </c>
      <c r="K173" s="19">
        <f>ROUND(J173*E173,2)</f>
        <v>58.21</v>
      </c>
      <c r="L173" s="135"/>
      <c r="M173" s="139">
        <v>1</v>
      </c>
      <c r="N173" s="139"/>
      <c r="O173" s="139"/>
      <c r="P173" s="37">
        <f>Q173+Q173*R173+S173+T173+U173</f>
        <v>32.07</v>
      </c>
      <c r="Q173" s="99">
        <f>$Q$10</f>
        <v>19</v>
      </c>
      <c r="R173" s="163">
        <f>$R$10</f>
        <v>0.03</v>
      </c>
      <c r="S173" s="99">
        <f>$S$10</f>
        <v>12</v>
      </c>
      <c r="T173" s="99">
        <f>$T$10</f>
        <v>0.3</v>
      </c>
      <c r="U173" s="99">
        <f>$U$10</f>
        <v>0.2</v>
      </c>
      <c r="V173" s="37">
        <f>P173*E173</f>
        <v>52.9155</v>
      </c>
      <c r="W173" s="139"/>
      <c r="X173" s="139"/>
      <c r="Y173" s="139"/>
      <c r="Z173" s="139"/>
      <c r="AA173" s="139"/>
      <c r="AB173" s="139"/>
      <c r="AC173" s="139"/>
      <c r="AD173" s="139"/>
      <c r="AE173" s="139"/>
      <c r="AF173" s="140"/>
      <c r="AG173" s="140"/>
      <c r="AH173" s="140"/>
      <c r="AI173" s="140"/>
      <c r="AJ173" s="140"/>
      <c r="AK173" s="140"/>
      <c r="AL173" s="140"/>
      <c r="AM173" s="140"/>
      <c r="AN173" s="140"/>
      <c r="AO173" s="140"/>
      <c r="AP173" s="140"/>
      <c r="AQ173" s="140"/>
      <c r="AR173" s="140"/>
      <c r="AS173" s="140"/>
      <c r="AT173" s="140"/>
      <c r="AU173" s="140"/>
      <c r="AV173" s="140"/>
      <c r="AW173" s="140"/>
      <c r="AX173" s="140"/>
      <c r="AY173" s="140"/>
      <c r="AZ173" s="140"/>
      <c r="BA173" s="140"/>
      <c r="BB173" s="140"/>
      <c r="BC173" s="140"/>
      <c r="BD173" s="140"/>
      <c r="BE173" s="140"/>
    </row>
    <row r="174" s="119" customFormat="1" ht="24" customHeight="1" outlineLevel="1" spans="1:57">
      <c r="A174" s="141"/>
      <c r="B174" s="14" t="s">
        <v>73</v>
      </c>
      <c r="C174" s="15"/>
      <c r="D174" s="142"/>
      <c r="E174" s="143"/>
      <c r="F174" s="143"/>
      <c r="G174" s="143"/>
      <c r="H174" s="143"/>
      <c r="I174" s="143"/>
      <c r="J174" s="143"/>
      <c r="K174" s="144"/>
      <c r="L174" s="135"/>
      <c r="M174" s="139"/>
      <c r="N174" s="139"/>
      <c r="O174" s="139"/>
      <c r="P174" s="137"/>
      <c r="Q174" s="137"/>
      <c r="R174" s="138"/>
      <c r="S174" s="137"/>
      <c r="T174" s="137"/>
      <c r="U174" s="137"/>
      <c r="V174" s="137"/>
      <c r="W174" s="139"/>
      <c r="X174" s="139"/>
      <c r="Y174" s="139"/>
      <c r="Z174" s="139"/>
      <c r="AA174" s="139"/>
      <c r="AB174" s="139"/>
      <c r="AC174" s="139"/>
      <c r="AD174" s="139"/>
      <c r="AE174" s="139"/>
      <c r="AF174" s="140"/>
      <c r="AG174" s="140"/>
      <c r="AH174" s="140"/>
      <c r="AI174" s="140"/>
      <c r="AJ174" s="140"/>
      <c r="AK174" s="140"/>
      <c r="AL174" s="140"/>
      <c r="AM174" s="140"/>
      <c r="AN174" s="140"/>
      <c r="AO174" s="140"/>
      <c r="AP174" s="140"/>
      <c r="AQ174" s="140"/>
      <c r="AR174" s="140"/>
      <c r="AS174" s="140"/>
      <c r="AT174" s="140"/>
      <c r="AU174" s="140"/>
      <c r="AV174" s="140"/>
      <c r="AW174" s="140"/>
      <c r="AX174" s="140"/>
      <c r="AY174" s="140"/>
      <c r="AZ174" s="140"/>
      <c r="BA174" s="140"/>
      <c r="BB174" s="140"/>
      <c r="BC174" s="140"/>
      <c r="BD174" s="140"/>
      <c r="BE174" s="140"/>
    </row>
    <row r="175" s="119" customFormat="1" ht="72" customHeight="1" outlineLevel="2" spans="1:57">
      <c r="A175" s="162">
        <f t="shared" ref="A175:A184" si="51">1+N(A174)</f>
        <v>1</v>
      </c>
      <c r="B175" s="164" t="s">
        <v>74</v>
      </c>
      <c r="C175" s="15" t="s">
        <v>75</v>
      </c>
      <c r="D175" s="142" t="s">
        <v>63</v>
      </c>
      <c r="E175" s="143">
        <v>1.71</v>
      </c>
      <c r="F175" s="143">
        <f>$F$13</f>
        <v>95</v>
      </c>
      <c r="G175" s="143">
        <f>$G$13</f>
        <v>813.75</v>
      </c>
      <c r="H175" s="143">
        <f>$H$13</f>
        <v>18.3</v>
      </c>
      <c r="I175" s="17">
        <f t="shared" ref="I175:I184" si="52">(F175+G175+H175)*$I$3</f>
        <v>92.705</v>
      </c>
      <c r="J175" s="18">
        <f t="shared" ref="J175:J184" si="53">ROUND(SUM(F175:I175),2)</f>
        <v>1019.76</v>
      </c>
      <c r="K175" s="19">
        <f t="shared" ref="K175:K184" si="54">ROUND(J175*E175,2)</f>
        <v>1743.79</v>
      </c>
      <c r="L175" s="135"/>
      <c r="M175" s="139">
        <v>1</v>
      </c>
      <c r="N175" s="139"/>
      <c r="O175" s="139"/>
      <c r="P175" s="37">
        <f t="shared" ref="P175:P184" si="55">Q175+Q175*R175+S175+T175+U175</f>
        <v>927.05</v>
      </c>
      <c r="Q175" s="99">
        <f>$Q$13</f>
        <v>775</v>
      </c>
      <c r="R175" s="163">
        <f>$R$13</f>
        <v>0.05</v>
      </c>
      <c r="S175" s="99">
        <f>$S$13</f>
        <v>95</v>
      </c>
      <c r="T175" s="99">
        <f>$T$13</f>
        <v>16.8</v>
      </c>
      <c r="U175" s="99">
        <f>$U$13</f>
        <v>1.5</v>
      </c>
      <c r="V175" s="37">
        <f t="shared" ref="V175:V184" si="56">P175*E175</f>
        <v>1585.2555</v>
      </c>
      <c r="W175" s="139"/>
      <c r="X175" s="139"/>
      <c r="Y175" s="139"/>
      <c r="Z175" s="139"/>
      <c r="AA175" s="139"/>
      <c r="AB175" s="139"/>
      <c r="AC175" s="139"/>
      <c r="AD175" s="139"/>
      <c r="AE175" s="139"/>
      <c r="AF175" s="140"/>
      <c r="AG175" s="140"/>
      <c r="AH175" s="140"/>
      <c r="AI175" s="140"/>
      <c r="AJ175" s="140"/>
      <c r="AK175" s="140"/>
      <c r="AL175" s="140"/>
      <c r="AM175" s="140"/>
      <c r="AN175" s="140"/>
      <c r="AO175" s="140"/>
      <c r="AP175" s="140"/>
      <c r="AQ175" s="140"/>
      <c r="AR175" s="140"/>
      <c r="AS175" s="140"/>
      <c r="AT175" s="140"/>
      <c r="AU175" s="140"/>
      <c r="AV175" s="140"/>
      <c r="AW175" s="140"/>
      <c r="AX175" s="140"/>
      <c r="AY175" s="140"/>
      <c r="AZ175" s="140"/>
      <c r="BA175" s="140"/>
      <c r="BB175" s="140"/>
      <c r="BC175" s="140"/>
      <c r="BD175" s="140"/>
      <c r="BE175" s="140"/>
    </row>
    <row r="176" s="119" customFormat="1" ht="96" customHeight="1" outlineLevel="2" spans="1:57">
      <c r="A176" s="162">
        <f t="shared" si="51"/>
        <v>2</v>
      </c>
      <c r="B176" s="165" t="s">
        <v>76</v>
      </c>
      <c r="C176" s="166" t="s">
        <v>77</v>
      </c>
      <c r="D176" s="142" t="s">
        <v>63</v>
      </c>
      <c r="E176" s="143">
        <v>8.362</v>
      </c>
      <c r="F176" s="143">
        <f>$F$14</f>
        <v>145</v>
      </c>
      <c r="G176" s="143">
        <f>$G$14</f>
        <v>651</v>
      </c>
      <c r="H176" s="143">
        <f>$H$14</f>
        <v>113.55</v>
      </c>
      <c r="I176" s="17">
        <f t="shared" si="52"/>
        <v>90.955</v>
      </c>
      <c r="J176" s="18">
        <f t="shared" si="53"/>
        <v>1000.51</v>
      </c>
      <c r="K176" s="19">
        <f t="shared" si="54"/>
        <v>8366.26</v>
      </c>
      <c r="L176" s="135"/>
      <c r="M176" s="139">
        <v>1</v>
      </c>
      <c r="N176" s="139"/>
      <c r="O176" s="139"/>
      <c r="P176" s="37">
        <f t="shared" si="55"/>
        <v>909.55</v>
      </c>
      <c r="Q176" s="99">
        <f>$Q$14</f>
        <v>620</v>
      </c>
      <c r="R176" s="163">
        <f>$R$14</f>
        <v>0.05</v>
      </c>
      <c r="S176" s="99">
        <f>$S$14</f>
        <v>145</v>
      </c>
      <c r="T176" s="99">
        <f>$T$14</f>
        <v>111.75</v>
      </c>
      <c r="U176" s="99">
        <f>$U$14</f>
        <v>1.8</v>
      </c>
      <c r="V176" s="37">
        <f t="shared" si="56"/>
        <v>7605.6571</v>
      </c>
      <c r="W176" s="139"/>
      <c r="X176" s="139"/>
      <c r="Y176" s="139"/>
      <c r="Z176" s="139"/>
      <c r="AA176" s="139"/>
      <c r="AB176" s="139"/>
      <c r="AC176" s="139"/>
      <c r="AD176" s="139"/>
      <c r="AE176" s="139"/>
      <c r="AF176" s="140"/>
      <c r="AG176" s="140"/>
      <c r="AH176" s="140"/>
      <c r="AI176" s="140"/>
      <c r="AJ176" s="140"/>
      <c r="AK176" s="140"/>
      <c r="AL176" s="140"/>
      <c r="AM176" s="140"/>
      <c r="AN176" s="140"/>
      <c r="AO176" s="140"/>
      <c r="AP176" s="140"/>
      <c r="AQ176" s="140"/>
      <c r="AR176" s="140"/>
      <c r="AS176" s="140"/>
      <c r="AT176" s="140"/>
      <c r="AU176" s="140"/>
      <c r="AV176" s="140"/>
      <c r="AW176" s="140"/>
      <c r="AX176" s="140"/>
      <c r="AY176" s="140"/>
      <c r="AZ176" s="140"/>
      <c r="BA176" s="140"/>
      <c r="BB176" s="140"/>
      <c r="BC176" s="140"/>
      <c r="BD176" s="140"/>
      <c r="BE176" s="140"/>
    </row>
    <row r="177" s="119" customFormat="1" ht="60" customHeight="1" outlineLevel="2" spans="1:57">
      <c r="A177" s="145">
        <f t="shared" si="51"/>
        <v>3</v>
      </c>
      <c r="B177" s="159" t="s">
        <v>170</v>
      </c>
      <c r="C177" s="160" t="s">
        <v>171</v>
      </c>
      <c r="D177" s="159" t="s">
        <v>63</v>
      </c>
      <c r="E177" s="149">
        <v>8.344</v>
      </c>
      <c r="F177" s="149">
        <f>S177*$S$1</f>
        <v>89</v>
      </c>
      <c r="G177" s="149">
        <f>Q177*(1+R177)*$Q$1</f>
        <v>160</v>
      </c>
      <c r="H177" s="149">
        <f>(T177+U177)*$T$1</f>
        <v>45.5</v>
      </c>
      <c r="I177" s="150">
        <f t="shared" si="52"/>
        <v>29.45</v>
      </c>
      <c r="J177" s="151">
        <f t="shared" si="53"/>
        <v>323.95</v>
      </c>
      <c r="K177" s="152">
        <f t="shared" si="54"/>
        <v>2703.04</v>
      </c>
      <c r="L177" s="153"/>
      <c r="M177" s="139">
        <v>1</v>
      </c>
      <c r="N177" s="139"/>
      <c r="O177" s="139"/>
      <c r="P177" s="37">
        <f t="shared" si="55"/>
        <v>294.5</v>
      </c>
      <c r="Q177" s="71">
        <v>160</v>
      </c>
      <c r="R177" s="157">
        <v>0</v>
      </c>
      <c r="S177" s="71">
        <v>89</v>
      </c>
      <c r="T177" s="71">
        <v>45</v>
      </c>
      <c r="U177" s="71">
        <v>0.5</v>
      </c>
      <c r="V177" s="37">
        <f t="shared" si="56"/>
        <v>2457.308</v>
      </c>
      <c r="W177" s="139"/>
      <c r="X177" s="139"/>
      <c r="Y177" s="139"/>
      <c r="Z177" s="139"/>
      <c r="AA177" s="139"/>
      <c r="AB177" s="139"/>
      <c r="AC177" s="139"/>
      <c r="AD177" s="139"/>
      <c r="AE177" s="139"/>
      <c r="AF177" s="140"/>
      <c r="AG177" s="140"/>
      <c r="AH177" s="140"/>
      <c r="AI177" s="140"/>
      <c r="AJ177" s="140"/>
      <c r="AK177" s="140"/>
      <c r="AL177" s="140"/>
      <c r="AM177" s="140"/>
      <c r="AN177" s="140"/>
      <c r="AO177" s="140"/>
      <c r="AP177" s="140"/>
      <c r="AQ177" s="140"/>
      <c r="AR177" s="140"/>
      <c r="AS177" s="140"/>
      <c r="AT177" s="140"/>
      <c r="AU177" s="140"/>
      <c r="AV177" s="140"/>
      <c r="AW177" s="140"/>
      <c r="AX177" s="140"/>
      <c r="AY177" s="140"/>
      <c r="AZ177" s="140"/>
      <c r="BA177" s="140"/>
      <c r="BB177" s="140"/>
      <c r="BC177" s="140"/>
      <c r="BD177" s="140"/>
      <c r="BE177" s="140"/>
    </row>
    <row r="178" s="119" customFormat="1" ht="72" customHeight="1" outlineLevel="2" spans="1:57">
      <c r="A178" s="162">
        <f t="shared" si="51"/>
        <v>4</v>
      </c>
      <c r="B178" s="165" t="s">
        <v>80</v>
      </c>
      <c r="C178" s="166" t="s">
        <v>81</v>
      </c>
      <c r="D178" s="165" t="s">
        <v>63</v>
      </c>
      <c r="E178" s="143">
        <v>22.692</v>
      </c>
      <c r="F178" s="143">
        <f>$F$16</f>
        <v>91.5</v>
      </c>
      <c r="G178" s="143">
        <f>$G$16</f>
        <v>5.555</v>
      </c>
      <c r="H178" s="143">
        <f>$H$16</f>
        <v>56.797</v>
      </c>
      <c r="I178" s="17">
        <f t="shared" si="52"/>
        <v>15.3852</v>
      </c>
      <c r="J178" s="18">
        <f t="shared" si="53"/>
        <v>169.24</v>
      </c>
      <c r="K178" s="19">
        <f t="shared" si="54"/>
        <v>3840.39</v>
      </c>
      <c r="L178" s="135"/>
      <c r="M178" s="139">
        <v>1</v>
      </c>
      <c r="N178" s="139"/>
      <c r="O178" s="139"/>
      <c r="P178" s="37">
        <f t="shared" si="55"/>
        <v>153.852</v>
      </c>
      <c r="Q178" s="99">
        <f>$Q$16</f>
        <v>5.5</v>
      </c>
      <c r="R178" s="163">
        <f>$R$16</f>
        <v>0.01</v>
      </c>
      <c r="S178" s="99">
        <f>$S$16</f>
        <v>91.5</v>
      </c>
      <c r="T178" s="99">
        <f>$T$16</f>
        <v>55.997</v>
      </c>
      <c r="U178" s="99">
        <f>$U$16</f>
        <v>0.8</v>
      </c>
      <c r="V178" s="37">
        <f t="shared" si="56"/>
        <v>3491.209584</v>
      </c>
      <c r="W178" s="139"/>
      <c r="X178" s="139"/>
      <c r="Y178" s="139"/>
      <c r="Z178" s="139"/>
      <c r="AA178" s="139"/>
      <c r="AB178" s="139"/>
      <c r="AC178" s="139"/>
      <c r="AD178" s="139"/>
      <c r="AE178" s="139"/>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c r="AZ178" s="140"/>
      <c r="BA178" s="140"/>
      <c r="BB178" s="140"/>
      <c r="BC178" s="140"/>
      <c r="BD178" s="140"/>
      <c r="BE178" s="140"/>
    </row>
    <row r="179" s="119" customFormat="1" ht="72" customHeight="1" outlineLevel="2" spans="1:57">
      <c r="A179" s="145">
        <f t="shared" si="51"/>
        <v>5</v>
      </c>
      <c r="B179" s="159" t="s">
        <v>172</v>
      </c>
      <c r="C179" s="160" t="s">
        <v>173</v>
      </c>
      <c r="D179" s="159" t="s">
        <v>63</v>
      </c>
      <c r="E179" s="149">
        <v>78.531</v>
      </c>
      <c r="F179" s="149">
        <f>S179*$S$1</f>
        <v>110</v>
      </c>
      <c r="G179" s="149">
        <f>Q179*(1+R179)*$Q$1</f>
        <v>85.5</v>
      </c>
      <c r="H179" s="149">
        <f>(T179+U179)*$T$1</f>
        <v>56.797</v>
      </c>
      <c r="I179" s="150">
        <f t="shared" si="52"/>
        <v>25.2297</v>
      </c>
      <c r="J179" s="151">
        <f t="shared" si="53"/>
        <v>277.53</v>
      </c>
      <c r="K179" s="152">
        <f t="shared" si="54"/>
        <v>21794.71</v>
      </c>
      <c r="L179" s="153"/>
      <c r="M179" s="139">
        <v>1</v>
      </c>
      <c r="N179" s="139"/>
      <c r="O179" s="139"/>
      <c r="P179" s="37">
        <f t="shared" si="55"/>
        <v>252.297</v>
      </c>
      <c r="Q179" s="71">
        <v>85.5</v>
      </c>
      <c r="R179" s="157">
        <v>0</v>
      </c>
      <c r="S179" s="71">
        <v>110</v>
      </c>
      <c r="T179" s="71">
        <v>55.997</v>
      </c>
      <c r="U179" s="71">
        <v>0.8</v>
      </c>
      <c r="V179" s="37">
        <f t="shared" si="56"/>
        <v>19813.135707</v>
      </c>
      <c r="W179" s="139"/>
      <c r="X179" s="139"/>
      <c r="Y179" s="139"/>
      <c r="Z179" s="139"/>
      <c r="AA179" s="139"/>
      <c r="AB179" s="139"/>
      <c r="AC179" s="139"/>
      <c r="AD179" s="139"/>
      <c r="AE179" s="139"/>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row>
    <row r="180" s="119" customFormat="1" ht="60" customHeight="1" outlineLevel="2" spans="1:57">
      <c r="A180" s="145">
        <f t="shared" si="51"/>
        <v>6</v>
      </c>
      <c r="B180" s="159" t="s">
        <v>174</v>
      </c>
      <c r="C180" s="160" t="s">
        <v>175</v>
      </c>
      <c r="D180" s="159" t="s">
        <v>63</v>
      </c>
      <c r="E180" s="149">
        <v>3.515</v>
      </c>
      <c r="F180" s="149">
        <f>S180*$S$1</f>
        <v>110</v>
      </c>
      <c r="G180" s="149">
        <f>Q180*(1+R180)*$Q$1</f>
        <v>87.55</v>
      </c>
      <c r="H180" s="149">
        <f>(T180+U180)*$T$1</f>
        <v>126.35</v>
      </c>
      <c r="I180" s="150">
        <f t="shared" si="52"/>
        <v>32.39</v>
      </c>
      <c r="J180" s="151">
        <f t="shared" si="53"/>
        <v>356.29</v>
      </c>
      <c r="K180" s="152">
        <f t="shared" si="54"/>
        <v>1252.36</v>
      </c>
      <c r="L180" s="153"/>
      <c r="M180" s="139">
        <v>1</v>
      </c>
      <c r="N180" s="139"/>
      <c r="O180" s="139"/>
      <c r="P180" s="37">
        <f t="shared" si="55"/>
        <v>323.9</v>
      </c>
      <c r="Q180" s="71">
        <v>85</v>
      </c>
      <c r="R180" s="157">
        <v>0.03</v>
      </c>
      <c r="S180" s="71">
        <v>110</v>
      </c>
      <c r="T180" s="71">
        <v>125.75</v>
      </c>
      <c r="U180" s="71">
        <v>0.6</v>
      </c>
      <c r="V180" s="37">
        <f t="shared" si="56"/>
        <v>1138.5085</v>
      </c>
      <c r="W180" s="139"/>
      <c r="X180" s="139"/>
      <c r="Y180" s="139"/>
      <c r="Z180" s="139"/>
      <c r="AA180" s="139"/>
      <c r="AB180" s="139"/>
      <c r="AC180" s="139"/>
      <c r="AD180" s="139"/>
      <c r="AE180" s="139"/>
      <c r="AF180" s="140"/>
      <c r="AG180" s="140"/>
      <c r="AH180" s="140"/>
      <c r="AI180" s="140"/>
      <c r="AJ180" s="140"/>
      <c r="AK180" s="140"/>
      <c r="AL180" s="140"/>
      <c r="AM180" s="140"/>
      <c r="AN180" s="140"/>
      <c r="AO180" s="140"/>
      <c r="AP180" s="140"/>
      <c r="AQ180" s="140"/>
      <c r="AR180" s="140"/>
      <c r="AS180" s="140"/>
      <c r="AT180" s="140"/>
      <c r="AU180" s="140"/>
      <c r="AV180" s="140"/>
      <c r="AW180" s="140"/>
      <c r="AX180" s="140"/>
      <c r="AY180" s="140"/>
      <c r="AZ180" s="140"/>
      <c r="BA180" s="140"/>
      <c r="BB180" s="140"/>
      <c r="BC180" s="140"/>
      <c r="BD180" s="140"/>
      <c r="BE180" s="140"/>
    </row>
    <row r="181" s="119" customFormat="1" ht="36" customHeight="1" outlineLevel="2" spans="1:57">
      <c r="A181" s="162">
        <f t="shared" si="51"/>
        <v>7</v>
      </c>
      <c r="B181" s="165" t="s">
        <v>131</v>
      </c>
      <c r="C181" s="166" t="s">
        <v>153</v>
      </c>
      <c r="D181" s="165" t="s">
        <v>63</v>
      </c>
      <c r="E181" s="143">
        <v>1.29</v>
      </c>
      <c r="F181" s="143">
        <f>$F$137</f>
        <v>110</v>
      </c>
      <c r="G181" s="143">
        <f>$G$137</f>
        <v>454.5</v>
      </c>
      <c r="H181" s="143">
        <f>$H$137</f>
        <v>55.2</v>
      </c>
      <c r="I181" s="17">
        <f t="shared" si="52"/>
        <v>61.97</v>
      </c>
      <c r="J181" s="18">
        <f t="shared" si="53"/>
        <v>681.67</v>
      </c>
      <c r="K181" s="19">
        <f t="shared" si="54"/>
        <v>879.35</v>
      </c>
      <c r="L181" s="135"/>
      <c r="M181" s="139">
        <v>1</v>
      </c>
      <c r="N181" s="139"/>
      <c r="O181" s="139"/>
      <c r="P181" s="37">
        <f t="shared" si="55"/>
        <v>619.7</v>
      </c>
      <c r="Q181" s="99">
        <f>$Q$137</f>
        <v>450</v>
      </c>
      <c r="R181" s="163">
        <f>$R$137</f>
        <v>0.01</v>
      </c>
      <c r="S181" s="99">
        <f>$S$137</f>
        <v>110</v>
      </c>
      <c r="T181" s="99">
        <f>$T$137</f>
        <v>54</v>
      </c>
      <c r="U181" s="99">
        <f>$U$137</f>
        <v>1.2</v>
      </c>
      <c r="V181" s="37">
        <f t="shared" si="56"/>
        <v>799.413</v>
      </c>
      <c r="W181" s="139"/>
      <c r="X181" s="139"/>
      <c r="Y181" s="139"/>
      <c r="Z181" s="139"/>
      <c r="AA181" s="139"/>
      <c r="AB181" s="139"/>
      <c r="AC181" s="139"/>
      <c r="AD181" s="139"/>
      <c r="AE181" s="139"/>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140"/>
      <c r="BC181" s="140"/>
      <c r="BD181" s="140"/>
      <c r="BE181" s="140"/>
    </row>
    <row r="182" s="119" customFormat="1" ht="48" customHeight="1" outlineLevel="2" spans="1:57">
      <c r="A182" s="162">
        <f t="shared" si="51"/>
        <v>8</v>
      </c>
      <c r="B182" s="165" t="s">
        <v>91</v>
      </c>
      <c r="C182" s="166" t="s">
        <v>92</v>
      </c>
      <c r="D182" s="165" t="s">
        <v>70</v>
      </c>
      <c r="E182" s="143">
        <v>36.44</v>
      </c>
      <c r="F182" s="143">
        <f>$F$22</f>
        <v>12</v>
      </c>
      <c r="G182" s="143">
        <f>$G$22</f>
        <v>25.75</v>
      </c>
      <c r="H182" s="143">
        <f>$H$22</f>
        <v>3.8</v>
      </c>
      <c r="I182" s="17">
        <f t="shared" si="52"/>
        <v>4.155</v>
      </c>
      <c r="J182" s="18">
        <f t="shared" si="53"/>
        <v>45.71</v>
      </c>
      <c r="K182" s="19">
        <f t="shared" si="54"/>
        <v>1665.67</v>
      </c>
      <c r="L182" s="135"/>
      <c r="M182" s="139">
        <v>1</v>
      </c>
      <c r="N182" s="139"/>
      <c r="O182" s="139"/>
      <c r="P182" s="37">
        <f t="shared" si="55"/>
        <v>41.55</v>
      </c>
      <c r="Q182" s="99">
        <f>$Q$22</f>
        <v>25</v>
      </c>
      <c r="R182" s="163">
        <f>$R$22</f>
        <v>0.03</v>
      </c>
      <c r="S182" s="99">
        <f>$S$22</f>
        <v>12</v>
      </c>
      <c r="T182" s="99">
        <f>$T$22</f>
        <v>3.5</v>
      </c>
      <c r="U182" s="99">
        <f>$U$22</f>
        <v>0.3</v>
      </c>
      <c r="V182" s="37">
        <f t="shared" si="56"/>
        <v>1514.082</v>
      </c>
      <c r="W182" s="139"/>
      <c r="X182" s="139"/>
      <c r="Y182" s="139"/>
      <c r="Z182" s="139"/>
      <c r="AA182" s="139"/>
      <c r="AB182" s="139"/>
      <c r="AC182" s="139"/>
      <c r="AD182" s="139"/>
      <c r="AE182" s="139"/>
      <c r="AF182" s="140"/>
      <c r="AG182" s="140"/>
      <c r="AH182" s="140"/>
      <c r="AI182" s="140"/>
      <c r="AJ182" s="140"/>
      <c r="AK182" s="140"/>
      <c r="AL182" s="140"/>
      <c r="AM182" s="140"/>
      <c r="AN182" s="140"/>
      <c r="AO182" s="140"/>
      <c r="AP182" s="140"/>
      <c r="AQ182" s="140"/>
      <c r="AR182" s="140"/>
      <c r="AS182" s="140"/>
      <c r="AT182" s="140"/>
      <c r="AU182" s="140"/>
      <c r="AV182" s="140"/>
      <c r="AW182" s="140"/>
      <c r="AX182" s="140"/>
      <c r="AY182" s="140"/>
      <c r="AZ182" s="140"/>
      <c r="BA182" s="140"/>
      <c r="BB182" s="140"/>
      <c r="BC182" s="140"/>
      <c r="BD182" s="140"/>
      <c r="BE182" s="140"/>
    </row>
    <row r="183" s="119" customFormat="1" ht="48" customHeight="1" outlineLevel="2" spans="1:57">
      <c r="A183" s="162">
        <f t="shared" si="51"/>
        <v>9</v>
      </c>
      <c r="B183" s="165" t="s">
        <v>97</v>
      </c>
      <c r="C183" s="166" t="s">
        <v>98</v>
      </c>
      <c r="D183" s="165" t="s">
        <v>70</v>
      </c>
      <c r="E183" s="143">
        <v>36.44</v>
      </c>
      <c r="F183" s="143">
        <f>$F$25</f>
        <v>22</v>
      </c>
      <c r="G183" s="143">
        <f>$G$25</f>
        <v>58.195</v>
      </c>
      <c r="H183" s="143">
        <f>$H$25</f>
        <v>6.3</v>
      </c>
      <c r="I183" s="17">
        <f t="shared" si="52"/>
        <v>8.6495</v>
      </c>
      <c r="J183" s="18">
        <f t="shared" si="53"/>
        <v>95.14</v>
      </c>
      <c r="K183" s="19">
        <f t="shared" si="54"/>
        <v>3466.9</v>
      </c>
      <c r="L183" s="135"/>
      <c r="M183" s="139">
        <v>1</v>
      </c>
      <c r="N183" s="139"/>
      <c r="O183" s="139"/>
      <c r="P183" s="37">
        <f t="shared" si="55"/>
        <v>86.495</v>
      </c>
      <c r="Q183" s="99">
        <f>$Q$25</f>
        <v>56.5</v>
      </c>
      <c r="R183" s="163">
        <f>$R$25</f>
        <v>0.03</v>
      </c>
      <c r="S183" s="99">
        <f>$S$25</f>
        <v>22</v>
      </c>
      <c r="T183" s="99">
        <f>$T$25</f>
        <v>6</v>
      </c>
      <c r="U183" s="99">
        <f>$U$25</f>
        <v>0.3</v>
      </c>
      <c r="V183" s="37">
        <f t="shared" si="56"/>
        <v>3151.8778</v>
      </c>
      <c r="W183" s="139"/>
      <c r="X183" s="139"/>
      <c r="Y183" s="139"/>
      <c r="Z183" s="139"/>
      <c r="AA183" s="139"/>
      <c r="AB183" s="139"/>
      <c r="AC183" s="139"/>
      <c r="AD183" s="139"/>
      <c r="AE183" s="139"/>
      <c r="AF183" s="140"/>
      <c r="AG183" s="140"/>
      <c r="AH183" s="140"/>
      <c r="AI183" s="140"/>
      <c r="AJ183" s="140"/>
      <c r="AK183" s="140"/>
      <c r="AL183" s="140"/>
      <c r="AM183" s="140"/>
      <c r="AN183" s="140"/>
      <c r="AO183" s="140"/>
      <c r="AP183" s="140"/>
      <c r="AQ183" s="140"/>
      <c r="AR183" s="140"/>
      <c r="AS183" s="140"/>
      <c r="AT183" s="140"/>
      <c r="AU183" s="140"/>
      <c r="AV183" s="140"/>
      <c r="AW183" s="140"/>
      <c r="AX183" s="140"/>
      <c r="AY183" s="140"/>
      <c r="AZ183" s="140"/>
      <c r="BA183" s="140"/>
      <c r="BB183" s="140"/>
      <c r="BC183" s="140"/>
      <c r="BD183" s="140"/>
      <c r="BE183" s="140"/>
    </row>
    <row r="184" s="119" customFormat="1" ht="48" customHeight="1" outlineLevel="2" spans="1:57">
      <c r="A184" s="162">
        <f t="shared" si="51"/>
        <v>10</v>
      </c>
      <c r="B184" s="165" t="s">
        <v>99</v>
      </c>
      <c r="C184" s="166" t="s">
        <v>100</v>
      </c>
      <c r="D184" s="165" t="s">
        <v>70</v>
      </c>
      <c r="E184" s="143">
        <v>42.44</v>
      </c>
      <c r="F184" s="143">
        <f>$F$26</f>
        <v>12</v>
      </c>
      <c r="G184" s="143">
        <f>$G$26</f>
        <v>23.4325</v>
      </c>
      <c r="H184" s="143">
        <f>$H$26</f>
        <v>3.8</v>
      </c>
      <c r="I184" s="17">
        <f t="shared" si="52"/>
        <v>3.92325</v>
      </c>
      <c r="J184" s="18">
        <f t="shared" si="53"/>
        <v>43.16</v>
      </c>
      <c r="K184" s="19">
        <f t="shared" si="54"/>
        <v>1831.71</v>
      </c>
      <c r="L184" s="135"/>
      <c r="M184" s="139">
        <v>1</v>
      </c>
      <c r="N184" s="139"/>
      <c r="O184" s="139"/>
      <c r="P184" s="37">
        <f t="shared" si="55"/>
        <v>39.2325</v>
      </c>
      <c r="Q184" s="99">
        <f>$Q$26</f>
        <v>22.75</v>
      </c>
      <c r="R184" s="163">
        <f>$R$26</f>
        <v>0.03</v>
      </c>
      <c r="S184" s="99">
        <f>$S$26</f>
        <v>12</v>
      </c>
      <c r="T184" s="99">
        <f>$T$26</f>
        <v>3.5</v>
      </c>
      <c r="U184" s="99">
        <f>$U$26</f>
        <v>0.3</v>
      </c>
      <c r="V184" s="37">
        <f t="shared" si="56"/>
        <v>1665.0273</v>
      </c>
      <c r="W184" s="139"/>
      <c r="X184" s="139"/>
      <c r="Y184" s="139"/>
      <c r="Z184" s="139"/>
      <c r="AA184" s="139"/>
      <c r="AB184" s="139"/>
      <c r="AC184" s="139"/>
      <c r="AD184" s="139"/>
      <c r="AE184" s="139"/>
      <c r="AF184" s="140"/>
      <c r="AG184" s="140"/>
      <c r="AH184" s="140"/>
      <c r="AI184" s="140"/>
      <c r="AJ184" s="140"/>
      <c r="AK184" s="140"/>
      <c r="AL184" s="140"/>
      <c r="AM184" s="140"/>
      <c r="AN184" s="140"/>
      <c r="AO184" s="140"/>
      <c r="AP184" s="140"/>
      <c r="AQ184" s="140"/>
      <c r="AR184" s="140"/>
      <c r="AS184" s="140"/>
      <c r="AT184" s="140"/>
      <c r="AU184" s="140"/>
      <c r="AV184" s="140"/>
      <c r="AW184" s="140"/>
      <c r="AX184" s="140"/>
      <c r="AY184" s="140"/>
      <c r="AZ184" s="140"/>
      <c r="BA184" s="140"/>
      <c r="BB184" s="140"/>
      <c r="BC184" s="140"/>
      <c r="BD184" s="140"/>
      <c r="BE184" s="140"/>
    </row>
    <row r="185" s="119" customFormat="1" ht="24" customHeight="1" outlineLevel="1" spans="1:57">
      <c r="A185" s="141"/>
      <c r="B185" s="14" t="s">
        <v>101</v>
      </c>
      <c r="C185" s="15"/>
      <c r="D185" s="142"/>
      <c r="E185" s="143"/>
      <c r="F185" s="143"/>
      <c r="G185" s="143"/>
      <c r="H185" s="143"/>
      <c r="I185" s="143"/>
      <c r="J185" s="143"/>
      <c r="K185" s="144"/>
      <c r="L185" s="135"/>
      <c r="M185" s="139"/>
      <c r="N185" s="139"/>
      <c r="O185" s="139"/>
      <c r="P185" s="137"/>
      <c r="Q185" s="137"/>
      <c r="R185" s="138"/>
      <c r="S185" s="137"/>
      <c r="T185" s="137"/>
      <c r="U185" s="137"/>
      <c r="V185" s="137"/>
      <c r="W185" s="139"/>
      <c r="X185" s="139"/>
      <c r="Y185" s="139"/>
      <c r="Z185" s="139"/>
      <c r="AA185" s="139"/>
      <c r="AB185" s="139"/>
      <c r="AC185" s="139"/>
      <c r="AD185" s="139"/>
      <c r="AE185" s="139"/>
      <c r="AF185" s="140"/>
      <c r="AG185" s="140"/>
      <c r="AH185" s="140"/>
      <c r="AI185" s="140"/>
      <c r="AJ185" s="140"/>
      <c r="AK185" s="140"/>
      <c r="AL185" s="140"/>
      <c r="AM185" s="140"/>
      <c r="AN185" s="140"/>
      <c r="AO185" s="140"/>
      <c r="AP185" s="140"/>
      <c r="AQ185" s="140"/>
      <c r="AR185" s="140"/>
      <c r="AS185" s="140"/>
      <c r="AT185" s="140"/>
      <c r="AU185" s="140"/>
      <c r="AV185" s="140"/>
      <c r="AW185" s="140"/>
      <c r="AX185" s="140"/>
      <c r="AY185" s="140"/>
      <c r="AZ185" s="140"/>
      <c r="BA185" s="140"/>
      <c r="BB185" s="140"/>
      <c r="BC185" s="140"/>
      <c r="BD185" s="140"/>
      <c r="BE185" s="140"/>
    </row>
    <row r="186" s="119" customFormat="1" ht="96" customHeight="1" outlineLevel="2" spans="1:57">
      <c r="A186" s="162">
        <f>1+N(A185)</f>
        <v>1</v>
      </c>
      <c r="B186" s="14" t="s">
        <v>102</v>
      </c>
      <c r="C186" s="167" t="s">
        <v>103</v>
      </c>
      <c r="D186" s="142" t="s">
        <v>63</v>
      </c>
      <c r="E186" s="143">
        <v>64.33</v>
      </c>
      <c r="F186" s="143">
        <f>$F$28</f>
        <v>70</v>
      </c>
      <c r="G186" s="143">
        <f>$G$28</f>
        <v>0</v>
      </c>
      <c r="H186" s="143">
        <f>$H$28</f>
        <v>66.711</v>
      </c>
      <c r="I186" s="17">
        <f>(F186+G186+H186)*$I$3</f>
        <v>13.6711</v>
      </c>
      <c r="J186" s="18">
        <f>ROUND(SUM(F186:I186),2)</f>
        <v>150.38</v>
      </c>
      <c r="K186" s="19">
        <f>ROUND(J186*E186,2)</f>
        <v>9673.95</v>
      </c>
      <c r="L186" s="135"/>
      <c r="M186" s="139">
        <v>1</v>
      </c>
      <c r="N186" s="139"/>
      <c r="O186" s="139"/>
      <c r="P186" s="37">
        <f>Q186+Q186*R186+S186+T186+U186</f>
        <v>136.711</v>
      </c>
      <c r="Q186" s="99">
        <f>$Q$28</f>
        <v>0</v>
      </c>
      <c r="R186" s="163">
        <f>$R$28</f>
        <v>0.01</v>
      </c>
      <c r="S186" s="99">
        <f>$S$28</f>
        <v>70</v>
      </c>
      <c r="T186" s="99">
        <f>$T$28</f>
        <v>64.711</v>
      </c>
      <c r="U186" s="99">
        <f>$U$28</f>
        <v>2</v>
      </c>
      <c r="V186" s="37">
        <f>P186*E186</f>
        <v>8794.61863</v>
      </c>
      <c r="W186" s="139"/>
      <c r="X186" s="139"/>
      <c r="Y186" s="139"/>
      <c r="Z186" s="139"/>
      <c r="AA186" s="139"/>
      <c r="AB186" s="139"/>
      <c r="AC186" s="139"/>
      <c r="AD186" s="139"/>
      <c r="AE186" s="139"/>
      <c r="AF186" s="140"/>
      <c r="AG186" s="140"/>
      <c r="AH186" s="140"/>
      <c r="AI186" s="140"/>
      <c r="AJ186" s="140"/>
      <c r="AK186" s="140"/>
      <c r="AL186" s="140"/>
      <c r="AM186" s="140"/>
      <c r="AN186" s="140"/>
      <c r="AO186" s="140"/>
      <c r="AP186" s="140"/>
      <c r="AQ186" s="140"/>
      <c r="AR186" s="140"/>
      <c r="AS186" s="140"/>
      <c r="AT186" s="140"/>
      <c r="AU186" s="140"/>
      <c r="AV186" s="140"/>
      <c r="AW186" s="140"/>
      <c r="AX186" s="140"/>
      <c r="AY186" s="140"/>
      <c r="AZ186" s="140"/>
      <c r="BA186" s="140"/>
      <c r="BB186" s="140"/>
      <c r="BC186" s="140"/>
      <c r="BD186" s="140"/>
      <c r="BE186" s="140"/>
    </row>
    <row r="187" s="119" customFormat="1" ht="48" customHeight="1" outlineLevel="2" spans="1:57">
      <c r="A187" s="162">
        <f>1+N(A186)</f>
        <v>2</v>
      </c>
      <c r="B187" s="14" t="s">
        <v>104</v>
      </c>
      <c r="C187" s="167" t="s">
        <v>105</v>
      </c>
      <c r="D187" s="142" t="s">
        <v>70</v>
      </c>
      <c r="E187" s="143">
        <v>18.36</v>
      </c>
      <c r="F187" s="143">
        <f>$F$29</f>
        <v>50</v>
      </c>
      <c r="G187" s="143">
        <f>$G$29</f>
        <v>0</v>
      </c>
      <c r="H187" s="143">
        <f>$H$29</f>
        <v>22.0941</v>
      </c>
      <c r="I187" s="17">
        <f>(F187+G187+H187)*$I$3</f>
        <v>7.20941</v>
      </c>
      <c r="J187" s="18">
        <f>ROUND(SUM(F187:I187),2)</f>
        <v>79.3</v>
      </c>
      <c r="K187" s="19">
        <f>ROUND(J187*E187,2)</f>
        <v>1455.95</v>
      </c>
      <c r="L187" s="135"/>
      <c r="M187" s="139">
        <v>1</v>
      </c>
      <c r="N187" s="139"/>
      <c r="O187" s="139"/>
      <c r="P187" s="37">
        <f>Q187+Q187*R187+S187+T187+U187</f>
        <v>72.0941</v>
      </c>
      <c r="Q187" s="99">
        <f>$Q$29</f>
        <v>0</v>
      </c>
      <c r="R187" s="163">
        <f>$R$29</f>
        <v>0.01</v>
      </c>
      <c r="S187" s="99">
        <f>$S$29</f>
        <v>50</v>
      </c>
      <c r="T187" s="99">
        <f>$T$29</f>
        <v>22.0941</v>
      </c>
      <c r="U187" s="99">
        <f>$U$29</f>
        <v>0</v>
      </c>
      <c r="V187" s="37">
        <f>P187*E187</f>
        <v>1323.647676</v>
      </c>
      <c r="W187" s="139"/>
      <c r="X187" s="139"/>
      <c r="Y187" s="139"/>
      <c r="Z187" s="139"/>
      <c r="AA187" s="139"/>
      <c r="AB187" s="139"/>
      <c r="AC187" s="139"/>
      <c r="AD187" s="139"/>
      <c r="AE187" s="139"/>
      <c r="AF187" s="140"/>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c r="BB187" s="140"/>
      <c r="BC187" s="140"/>
      <c r="BD187" s="140"/>
      <c r="BE187" s="140"/>
    </row>
    <row r="188" s="119" customFormat="1" ht="48" customHeight="1" outlineLevel="2" spans="1:57">
      <c r="A188" s="162">
        <f>1+N(A187)</f>
        <v>3</v>
      </c>
      <c r="B188" s="14" t="s">
        <v>106</v>
      </c>
      <c r="C188" s="167" t="s">
        <v>107</v>
      </c>
      <c r="D188" s="142" t="s">
        <v>70</v>
      </c>
      <c r="E188" s="143">
        <v>18.36</v>
      </c>
      <c r="F188" s="143">
        <f>$F$30</f>
        <v>18</v>
      </c>
      <c r="G188" s="143">
        <f>$G$30</f>
        <v>163.255</v>
      </c>
      <c r="H188" s="143">
        <f>$H$30</f>
        <v>3.8</v>
      </c>
      <c r="I188" s="17">
        <f>(F188+G188+H188)*$I$3</f>
        <v>18.5055</v>
      </c>
      <c r="J188" s="18">
        <f>ROUND(SUM(F188:I188),2)</f>
        <v>203.56</v>
      </c>
      <c r="K188" s="19">
        <f>ROUND(J188*E188,2)</f>
        <v>3737.36</v>
      </c>
      <c r="L188" s="135"/>
      <c r="M188" s="139">
        <v>1</v>
      </c>
      <c r="N188" s="139"/>
      <c r="O188" s="139"/>
      <c r="P188" s="37">
        <f>Q188+Q188*R188+S188+T188+U188</f>
        <v>185.055</v>
      </c>
      <c r="Q188" s="99">
        <f>$Q$30</f>
        <v>158.5</v>
      </c>
      <c r="R188" s="163">
        <f>$R$30</f>
        <v>0.03</v>
      </c>
      <c r="S188" s="99">
        <f>$S$30</f>
        <v>18</v>
      </c>
      <c r="T188" s="99">
        <f>$T$30</f>
        <v>3.5</v>
      </c>
      <c r="U188" s="99">
        <f>$U$30</f>
        <v>0.3</v>
      </c>
      <c r="V188" s="37">
        <f>P188*E188</f>
        <v>3397.6098</v>
      </c>
      <c r="W188" s="139"/>
      <c r="X188" s="139"/>
      <c r="Y188" s="139"/>
      <c r="Z188" s="139"/>
      <c r="AA188" s="139"/>
      <c r="AB188" s="139"/>
      <c r="AC188" s="139"/>
      <c r="AD188" s="139"/>
      <c r="AE188" s="139"/>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0"/>
      <c r="BC188" s="140"/>
      <c r="BD188" s="140"/>
      <c r="BE188" s="140"/>
    </row>
    <row r="189" s="119" customFormat="1" ht="72" customHeight="1" outlineLevel="2" spans="1:57">
      <c r="A189" s="162">
        <f>1+N(A188)</f>
        <v>4</v>
      </c>
      <c r="B189" s="14" t="s">
        <v>110</v>
      </c>
      <c r="C189" s="167" t="s">
        <v>111</v>
      </c>
      <c r="D189" s="142" t="s">
        <v>63</v>
      </c>
      <c r="E189" s="143">
        <f>64.33+18.36*0.3</f>
        <v>69.838</v>
      </c>
      <c r="F189" s="143">
        <f>$F$32</f>
        <v>45</v>
      </c>
      <c r="G189" s="143">
        <f>$G$32</f>
        <v>85.5</v>
      </c>
      <c r="H189" s="143">
        <f>$H$32</f>
        <v>7.3</v>
      </c>
      <c r="I189" s="17">
        <f>(F189+G189+H189)*$I$3</f>
        <v>13.78</v>
      </c>
      <c r="J189" s="18">
        <f>ROUND(SUM(F189:I189),2)</f>
        <v>151.58</v>
      </c>
      <c r="K189" s="19">
        <f>ROUND(J189*E189,2)</f>
        <v>10586.04</v>
      </c>
      <c r="L189" s="135"/>
      <c r="M189" s="139">
        <v>1</v>
      </c>
      <c r="N189" s="139"/>
      <c r="O189" s="139"/>
      <c r="P189" s="37">
        <f>Q189+Q189*R189+S189+T189+U189</f>
        <v>137.8</v>
      </c>
      <c r="Q189" s="99">
        <f>$Q$32</f>
        <v>85.5</v>
      </c>
      <c r="R189" s="163">
        <f>$R$32</f>
        <v>0</v>
      </c>
      <c r="S189" s="99">
        <f>$S$32</f>
        <v>45</v>
      </c>
      <c r="T189" s="99">
        <f>$T$32</f>
        <v>6.5</v>
      </c>
      <c r="U189" s="99">
        <f>$U$32</f>
        <v>0.8</v>
      </c>
      <c r="V189" s="37">
        <f>P189*E189</f>
        <v>9623.6764</v>
      </c>
      <c r="W189" s="139"/>
      <c r="X189" s="139"/>
      <c r="Y189" s="139"/>
      <c r="Z189" s="139"/>
      <c r="AA189" s="139"/>
      <c r="AB189" s="139"/>
      <c r="AC189" s="139"/>
      <c r="AD189" s="139"/>
      <c r="AE189" s="139"/>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0"/>
      <c r="BC189" s="140"/>
      <c r="BD189" s="140"/>
      <c r="BE189" s="140"/>
    </row>
    <row r="190" s="119" customFormat="1" ht="24" customHeight="1" outlineLevel="1" spans="1:57">
      <c r="A190" s="141"/>
      <c r="B190" s="14" t="s">
        <v>112</v>
      </c>
      <c r="C190" s="15"/>
      <c r="D190" s="142"/>
      <c r="E190" s="143"/>
      <c r="F190" s="143"/>
      <c r="G190" s="143"/>
      <c r="H190" s="143"/>
      <c r="I190" s="143"/>
      <c r="J190" s="143"/>
      <c r="K190" s="144"/>
      <c r="L190" s="135"/>
      <c r="M190" s="139"/>
      <c r="N190" s="139"/>
      <c r="O190" s="139"/>
      <c r="P190" s="137"/>
      <c r="Q190" s="137"/>
      <c r="R190" s="138"/>
      <c r="S190" s="137"/>
      <c r="T190" s="137"/>
      <c r="U190" s="137"/>
      <c r="V190" s="137"/>
      <c r="W190" s="139"/>
      <c r="X190" s="139"/>
      <c r="Y190" s="139"/>
      <c r="Z190" s="139"/>
      <c r="AA190" s="139"/>
      <c r="AB190" s="139"/>
      <c r="AC190" s="139"/>
      <c r="AD190" s="139"/>
      <c r="AE190" s="139"/>
      <c r="AF190" s="140"/>
      <c r="AG190" s="140"/>
      <c r="AH190" s="140"/>
      <c r="AI190" s="140"/>
      <c r="AJ190" s="140"/>
      <c r="AK190" s="140"/>
      <c r="AL190" s="140"/>
      <c r="AM190" s="140"/>
      <c r="AN190" s="140"/>
      <c r="AO190" s="140"/>
      <c r="AP190" s="140"/>
      <c r="AQ190" s="140"/>
      <c r="AR190" s="140"/>
      <c r="AS190" s="140"/>
      <c r="AT190" s="140"/>
      <c r="AU190" s="140"/>
      <c r="AV190" s="140"/>
      <c r="AW190" s="140"/>
      <c r="AX190" s="140"/>
      <c r="AY190" s="140"/>
      <c r="AZ190" s="140"/>
      <c r="BA190" s="140"/>
      <c r="BB190" s="140"/>
      <c r="BC190" s="140"/>
      <c r="BD190" s="140"/>
      <c r="BE190" s="140"/>
    </row>
    <row r="191" s="119" customFormat="1" ht="72" customHeight="1" outlineLevel="2" spans="1:57">
      <c r="A191" s="145">
        <f>1+N(A190)</f>
        <v>1</v>
      </c>
      <c r="B191" s="146" t="s">
        <v>176</v>
      </c>
      <c r="C191" s="160" t="s">
        <v>116</v>
      </c>
      <c r="D191" s="148" t="s">
        <v>63</v>
      </c>
      <c r="E191" s="149">
        <f>1.8*3</f>
        <v>5.4</v>
      </c>
      <c r="F191" s="149">
        <f>S191*$S$1</f>
        <v>145</v>
      </c>
      <c r="G191" s="149">
        <f>Q191*(1+R191)*$Q$1</f>
        <v>1650</v>
      </c>
      <c r="H191" s="149">
        <f>(T191+U191)*$T$1</f>
        <v>31.5</v>
      </c>
      <c r="I191" s="150">
        <f>(F191+G191+H191)*$I$3</f>
        <v>182.65</v>
      </c>
      <c r="J191" s="151">
        <f>ROUND(SUM(F191:I191),2)</f>
        <v>2009.15</v>
      </c>
      <c r="K191" s="152">
        <f>ROUND(J191*E191,2)</f>
        <v>10849.41</v>
      </c>
      <c r="L191" s="153"/>
      <c r="M191" s="139">
        <v>1</v>
      </c>
      <c r="N191" s="139"/>
      <c r="O191" s="139"/>
      <c r="P191" s="37">
        <f>Q191+Q191*R191+S191+T191+U191</f>
        <v>1826.5</v>
      </c>
      <c r="Q191" s="71">
        <v>1650</v>
      </c>
      <c r="R191" s="157">
        <v>0</v>
      </c>
      <c r="S191" s="71">
        <v>145</v>
      </c>
      <c r="T191" s="71">
        <v>30</v>
      </c>
      <c r="U191" s="71">
        <v>1.5</v>
      </c>
      <c r="V191" s="37">
        <f>P191*E191</f>
        <v>9863.1</v>
      </c>
      <c r="W191" s="139"/>
      <c r="X191" s="139"/>
      <c r="Y191" s="139"/>
      <c r="Z191" s="139"/>
      <c r="AA191" s="139"/>
      <c r="AB191" s="139"/>
      <c r="AC191" s="139"/>
      <c r="AD191" s="139"/>
      <c r="AE191" s="139"/>
      <c r="AF191" s="140"/>
      <c r="AG191" s="140"/>
      <c r="AH191" s="140"/>
      <c r="AI191" s="140"/>
      <c r="AJ191" s="140"/>
      <c r="AK191" s="140"/>
      <c r="AL191" s="140"/>
      <c r="AM191" s="140"/>
      <c r="AN191" s="140"/>
      <c r="AO191" s="140"/>
      <c r="AP191" s="140"/>
      <c r="AQ191" s="140"/>
      <c r="AR191" s="140"/>
      <c r="AS191" s="140"/>
      <c r="AT191" s="140"/>
      <c r="AU191" s="140"/>
      <c r="AV191" s="140"/>
      <c r="AW191" s="140"/>
      <c r="AX191" s="140"/>
      <c r="AY191" s="140"/>
      <c r="AZ191" s="140"/>
      <c r="BA191" s="140"/>
      <c r="BB191" s="140"/>
      <c r="BC191" s="140"/>
      <c r="BD191" s="140"/>
      <c r="BE191" s="140"/>
    </row>
    <row r="192" s="119" customFormat="1" ht="36" customHeight="1" outlineLevel="2" spans="1:57">
      <c r="A192" s="162">
        <f>1+N(A191)</f>
        <v>2</v>
      </c>
      <c r="B192" s="14" t="s">
        <v>126</v>
      </c>
      <c r="C192" s="15" t="s">
        <v>114</v>
      </c>
      <c r="D192" s="142" t="s">
        <v>63</v>
      </c>
      <c r="E192" s="143">
        <f>0.725*3</f>
        <v>2.175</v>
      </c>
      <c r="F192" s="143">
        <f>$F$60</f>
        <v>165</v>
      </c>
      <c r="G192" s="143">
        <f>$G$60</f>
        <v>85</v>
      </c>
      <c r="H192" s="143">
        <f>$H$60</f>
        <v>355.1744</v>
      </c>
      <c r="I192" s="17">
        <f>(F192+G192+H192)*$I$3</f>
        <v>60.51744</v>
      </c>
      <c r="J192" s="18">
        <f>ROUND(SUM(F192:I192),2)</f>
        <v>665.69</v>
      </c>
      <c r="K192" s="19">
        <f>ROUND(J192*E192,2)</f>
        <v>1447.88</v>
      </c>
      <c r="L192" s="135"/>
      <c r="M192" s="139">
        <v>1</v>
      </c>
      <c r="N192" s="139"/>
      <c r="O192" s="139"/>
      <c r="P192" s="37">
        <f>Q192+Q192*R192+S192+T192+U192</f>
        <v>605.1744</v>
      </c>
      <c r="Q192" s="99">
        <f>$Q$60</f>
        <v>85</v>
      </c>
      <c r="R192" s="163">
        <f>$R$60</f>
        <v>0</v>
      </c>
      <c r="S192" s="99">
        <f>$S$60</f>
        <v>165</v>
      </c>
      <c r="T192" s="99">
        <f>$T$60</f>
        <v>353.6744</v>
      </c>
      <c r="U192" s="99">
        <f>$U$60</f>
        <v>1.5</v>
      </c>
      <c r="V192" s="37">
        <f>P192*E192</f>
        <v>1316.25432</v>
      </c>
      <c r="W192" s="139"/>
      <c r="X192" s="139"/>
      <c r="Y192" s="139"/>
      <c r="Z192" s="139"/>
      <c r="AA192" s="139"/>
      <c r="AB192" s="139"/>
      <c r="AC192" s="139"/>
      <c r="AD192" s="139"/>
      <c r="AE192" s="139"/>
      <c r="AF192" s="140"/>
      <c r="AG192" s="140"/>
      <c r="AH192" s="140"/>
      <c r="AI192" s="140"/>
      <c r="AJ192" s="140"/>
      <c r="AK192" s="140"/>
      <c r="AL192" s="140"/>
      <c r="AM192" s="140"/>
      <c r="AN192" s="140"/>
      <c r="AO192" s="140"/>
      <c r="AP192" s="140"/>
      <c r="AQ192" s="140"/>
      <c r="AR192" s="140"/>
      <c r="AS192" s="140"/>
      <c r="AT192" s="140"/>
      <c r="AU192" s="140"/>
      <c r="AV192" s="140"/>
      <c r="AW192" s="140"/>
      <c r="AX192" s="140"/>
      <c r="AY192" s="140"/>
      <c r="AZ192" s="140"/>
      <c r="BA192" s="140"/>
      <c r="BB192" s="140"/>
      <c r="BC192" s="140"/>
      <c r="BD192" s="140"/>
      <c r="BE192" s="140"/>
    </row>
    <row r="193" s="119" customFormat="1" ht="72" customHeight="1" outlineLevel="2" spans="1:57">
      <c r="A193" s="145">
        <f>1+N(A192)</f>
        <v>3</v>
      </c>
      <c r="B193" s="146" t="s">
        <v>177</v>
      </c>
      <c r="C193" s="147" t="s">
        <v>178</v>
      </c>
      <c r="D193" s="148" t="s">
        <v>156</v>
      </c>
      <c r="E193" s="149">
        <v>1</v>
      </c>
      <c r="F193" s="149">
        <f>S193*$S$1</f>
        <v>490.875</v>
      </c>
      <c r="G193" s="149">
        <f>Q193*(1+R193)*$Q$1</f>
        <v>14148.75</v>
      </c>
      <c r="H193" s="149">
        <f>(T193+U193)*$T$1</f>
        <v>95.2875</v>
      </c>
      <c r="I193" s="150">
        <f>(F193+G193+H193)*$I$3</f>
        <v>1473.49125</v>
      </c>
      <c r="J193" s="151">
        <f>ROUND(SUM(F193:I193),2)</f>
        <v>16208.4</v>
      </c>
      <c r="K193" s="152">
        <f>ROUND(J193*E193,2)</f>
        <v>16208.4</v>
      </c>
      <c r="L193" s="153"/>
      <c r="M193" s="139">
        <v>1</v>
      </c>
      <c r="N193" s="139"/>
      <c r="O193" s="139"/>
      <c r="P193" s="37">
        <f>Q193+Q193*R193+S193+T193+U193</f>
        <v>14734.9125</v>
      </c>
      <c r="Q193" s="71">
        <v>14148.75</v>
      </c>
      <c r="R193" s="157">
        <v>0</v>
      </c>
      <c r="S193" s="71">
        <v>490.875</v>
      </c>
      <c r="T193" s="71">
        <v>86.625</v>
      </c>
      <c r="U193" s="71">
        <v>8.6625</v>
      </c>
      <c r="V193" s="37">
        <f>P193*E193</f>
        <v>14734.9125</v>
      </c>
      <c r="W193" s="139"/>
      <c r="X193" s="139"/>
      <c r="Y193" s="139"/>
      <c r="Z193" s="139"/>
      <c r="AA193" s="139"/>
      <c r="AB193" s="139"/>
      <c r="AC193" s="139"/>
      <c r="AD193" s="139"/>
      <c r="AE193" s="139"/>
      <c r="AF193" s="140"/>
      <c r="AG193" s="140"/>
      <c r="AH193" s="140"/>
      <c r="AI193" s="140"/>
      <c r="AJ193" s="140"/>
      <c r="AK193" s="140"/>
      <c r="AL193" s="140"/>
      <c r="AM193" s="140"/>
      <c r="AN193" s="140"/>
      <c r="AO193" s="140"/>
      <c r="AP193" s="140"/>
      <c r="AQ193" s="140"/>
      <c r="AR193" s="140"/>
      <c r="AS193" s="140"/>
      <c r="AT193" s="140"/>
      <c r="AU193" s="140"/>
      <c r="AV193" s="140"/>
      <c r="AW193" s="140"/>
      <c r="AX193" s="140"/>
      <c r="AY193" s="140"/>
      <c r="AZ193" s="140"/>
      <c r="BA193" s="140"/>
      <c r="BB193" s="140"/>
      <c r="BC193" s="140"/>
      <c r="BD193" s="140"/>
      <c r="BE193" s="140"/>
    </row>
    <row r="194" s="119" customFormat="1" ht="24" customHeight="1" outlineLevel="2" spans="1:57">
      <c r="A194" s="145">
        <f>1+N(A193)</f>
        <v>4</v>
      </c>
      <c r="B194" s="146" t="s">
        <v>179</v>
      </c>
      <c r="C194" s="147" t="s">
        <v>180</v>
      </c>
      <c r="D194" s="148" t="s">
        <v>70</v>
      </c>
      <c r="E194" s="149">
        <v>4.38</v>
      </c>
      <c r="F194" s="149">
        <f>S194*$S$1</f>
        <v>35</v>
      </c>
      <c r="G194" s="149">
        <f>Q194*(1+R194)*$Q$1</f>
        <v>2850</v>
      </c>
      <c r="H194" s="149">
        <f>(T194+U194)*$T$1</f>
        <v>6.3</v>
      </c>
      <c r="I194" s="150">
        <f>(F194+G194+H194)*$I$3</f>
        <v>289.13</v>
      </c>
      <c r="J194" s="151">
        <f>ROUND(SUM(F194:I194),2)</f>
        <v>3180.43</v>
      </c>
      <c r="K194" s="152">
        <f>ROUND(J194*E194,2)</f>
        <v>13930.28</v>
      </c>
      <c r="L194" s="153"/>
      <c r="M194" s="139">
        <v>1</v>
      </c>
      <c r="N194" s="139"/>
      <c r="O194" s="139"/>
      <c r="P194" s="37">
        <f>Q194+Q194*R194+S194+T194+U194</f>
        <v>2891.3</v>
      </c>
      <c r="Q194" s="71">
        <v>2850</v>
      </c>
      <c r="R194" s="157">
        <v>0</v>
      </c>
      <c r="S194" s="71">
        <v>35</v>
      </c>
      <c r="T194" s="71">
        <v>6</v>
      </c>
      <c r="U194" s="71">
        <v>0.3</v>
      </c>
      <c r="V194" s="37">
        <f>P194*E194</f>
        <v>12663.894</v>
      </c>
      <c r="W194" s="139"/>
      <c r="X194" s="139"/>
      <c r="Y194" s="139"/>
      <c r="Z194" s="139"/>
      <c r="AA194" s="139"/>
      <c r="AB194" s="139"/>
      <c r="AC194" s="139"/>
      <c r="AD194" s="139"/>
      <c r="AE194" s="139"/>
      <c r="AF194" s="140"/>
      <c r="AG194" s="140"/>
      <c r="AH194" s="140"/>
      <c r="AI194" s="140"/>
      <c r="AJ194" s="140"/>
      <c r="AK194" s="140"/>
      <c r="AL194" s="140"/>
      <c r="AM194" s="140"/>
      <c r="AN194" s="140"/>
      <c r="AO194" s="140"/>
      <c r="AP194" s="140"/>
      <c r="AQ194" s="140"/>
      <c r="AR194" s="140"/>
      <c r="AS194" s="140"/>
      <c r="AT194" s="140"/>
      <c r="AU194" s="140"/>
      <c r="AV194" s="140"/>
      <c r="AW194" s="140"/>
      <c r="AX194" s="140"/>
      <c r="AY194" s="140"/>
      <c r="AZ194" s="140"/>
      <c r="BA194" s="140"/>
      <c r="BB194" s="140"/>
      <c r="BC194" s="140"/>
      <c r="BD194" s="140"/>
      <c r="BE194" s="140"/>
    </row>
    <row r="195" s="119" customFormat="1" ht="24" customHeight="1" outlineLevel="1" spans="1:57">
      <c r="A195" s="132" t="s">
        <v>119</v>
      </c>
      <c r="B195" s="8" t="s">
        <v>181</v>
      </c>
      <c r="C195" s="8"/>
      <c r="D195" s="133"/>
      <c r="E195" s="134"/>
      <c r="F195" s="134"/>
      <c r="G195" s="134"/>
      <c r="H195" s="134"/>
      <c r="I195" s="134"/>
      <c r="J195" s="134"/>
      <c r="K195" s="11"/>
      <c r="L195" s="135"/>
      <c r="M195" s="139"/>
      <c r="N195" s="139"/>
      <c r="O195" s="170" t="str">
        <f>_xlfn.DISPIMG("ID_079CB18207A847FE99C003FD3B44EEAD",1)</f>
        <v>=DISPIMG("ID_079CB18207A847FE99C003FD3B44EEAD",1)</v>
      </c>
      <c r="P195" s="137"/>
      <c r="Q195" s="137"/>
      <c r="R195" s="138"/>
      <c r="S195" s="137"/>
      <c r="T195" s="137"/>
      <c r="U195" s="137"/>
      <c r="V195" s="137"/>
      <c r="W195" s="139"/>
      <c r="X195" s="139"/>
      <c r="Y195" s="139"/>
      <c r="Z195" s="139"/>
      <c r="AA195" s="139"/>
      <c r="AB195" s="139"/>
      <c r="AC195" s="139"/>
      <c r="AD195" s="139"/>
      <c r="AE195" s="139"/>
      <c r="AF195" s="140"/>
      <c r="AG195" s="140"/>
      <c r="AH195" s="140"/>
      <c r="AI195" s="140"/>
      <c r="AJ195" s="140"/>
      <c r="AK195" s="140"/>
      <c r="AL195" s="140"/>
      <c r="AM195" s="140"/>
      <c r="AN195" s="140"/>
      <c r="AO195" s="140"/>
      <c r="AP195" s="140"/>
      <c r="AQ195" s="140"/>
      <c r="AR195" s="140"/>
      <c r="AS195" s="140"/>
      <c r="AT195" s="140"/>
      <c r="AU195" s="140"/>
      <c r="AV195" s="140"/>
      <c r="AW195" s="140"/>
      <c r="AX195" s="140"/>
      <c r="AY195" s="140"/>
      <c r="AZ195" s="140"/>
      <c r="BA195" s="140"/>
      <c r="BB195" s="140"/>
      <c r="BC195" s="140"/>
      <c r="BD195" s="140"/>
      <c r="BE195" s="140"/>
    </row>
    <row r="196" s="119" customFormat="1" ht="24" customHeight="1" outlineLevel="1" spans="1:57">
      <c r="A196" s="141"/>
      <c r="B196" s="14" t="s">
        <v>60</v>
      </c>
      <c r="C196" s="15"/>
      <c r="D196" s="142"/>
      <c r="E196" s="143"/>
      <c r="F196" s="143"/>
      <c r="G196" s="143"/>
      <c r="H196" s="143"/>
      <c r="I196" s="143"/>
      <c r="J196" s="143"/>
      <c r="K196" s="144"/>
      <c r="L196" s="135"/>
      <c r="M196" s="139"/>
      <c r="N196" s="139"/>
      <c r="O196" s="139"/>
      <c r="P196" s="137"/>
      <c r="Q196" s="137"/>
      <c r="R196" s="138"/>
      <c r="S196" s="137"/>
      <c r="T196" s="137"/>
      <c r="U196" s="137"/>
      <c r="V196" s="137"/>
      <c r="W196" s="139"/>
      <c r="X196" s="139"/>
      <c r="Y196" s="139"/>
      <c r="Z196" s="139"/>
      <c r="AA196" s="139"/>
      <c r="AB196" s="139"/>
      <c r="AC196" s="139"/>
      <c r="AD196" s="139"/>
      <c r="AE196" s="139"/>
      <c r="AF196" s="140"/>
      <c r="AG196" s="140"/>
      <c r="AH196" s="140"/>
      <c r="AI196" s="140"/>
      <c r="AJ196" s="140"/>
      <c r="AK196" s="140"/>
      <c r="AL196" s="140"/>
      <c r="AM196" s="140"/>
      <c r="AN196" s="140"/>
      <c r="AO196" s="140"/>
      <c r="AP196" s="140"/>
      <c r="AQ196" s="140"/>
      <c r="AR196" s="140"/>
      <c r="AS196" s="140"/>
      <c r="AT196" s="140"/>
      <c r="AU196" s="140"/>
      <c r="AV196" s="140"/>
      <c r="AW196" s="140"/>
      <c r="AX196" s="140"/>
      <c r="AY196" s="140"/>
      <c r="AZ196" s="140"/>
      <c r="BA196" s="140"/>
      <c r="BB196" s="140"/>
      <c r="BC196" s="140"/>
      <c r="BD196" s="140"/>
      <c r="BE196" s="140"/>
    </row>
    <row r="197" s="119" customFormat="1" ht="96" customHeight="1" outlineLevel="2" spans="1:57">
      <c r="A197" s="162">
        <f>1+N(A196)</f>
        <v>1</v>
      </c>
      <c r="B197" s="14" t="s">
        <v>166</v>
      </c>
      <c r="C197" s="15" t="s">
        <v>167</v>
      </c>
      <c r="D197" s="142" t="s">
        <v>63</v>
      </c>
      <c r="E197" s="143">
        <v>21.5</v>
      </c>
      <c r="F197" s="143">
        <f>$F$171</f>
        <v>80</v>
      </c>
      <c r="G197" s="143">
        <f>$G$171</f>
        <v>46.35</v>
      </c>
      <c r="H197" s="17">
        <f>$H$171</f>
        <v>50.6</v>
      </c>
      <c r="I197" s="17">
        <f>(F197+G197+H197)*$I$3</f>
        <v>17.695</v>
      </c>
      <c r="J197" s="18">
        <f>ROUND(SUM(F197:I197),2)</f>
        <v>194.65</v>
      </c>
      <c r="K197" s="19">
        <f>ROUND(J197*E197,2)</f>
        <v>4184.98</v>
      </c>
      <c r="L197" s="135"/>
      <c r="M197" s="139">
        <v>1</v>
      </c>
      <c r="N197" s="139"/>
      <c r="O197" s="139"/>
      <c r="P197" s="37">
        <f>Q197+Q197*R197+S197+T197+U197</f>
        <v>176.95</v>
      </c>
      <c r="Q197" s="99">
        <f>$Q$171</f>
        <v>45</v>
      </c>
      <c r="R197" s="163">
        <f>$R$171</f>
        <v>0.03</v>
      </c>
      <c r="S197" s="99">
        <f>$S$171</f>
        <v>80</v>
      </c>
      <c r="T197" s="99">
        <f>$T$171</f>
        <v>50.1</v>
      </c>
      <c r="U197" s="99">
        <f>$U$171</f>
        <v>0.5</v>
      </c>
      <c r="V197" s="37">
        <f>P197*E197</f>
        <v>3804.425</v>
      </c>
      <c r="W197" s="139"/>
      <c r="X197" s="139"/>
      <c r="Y197" s="139"/>
      <c r="Z197" s="139"/>
      <c r="AA197" s="139"/>
      <c r="AB197" s="139"/>
      <c r="AC197" s="139"/>
      <c r="AD197" s="139"/>
      <c r="AE197" s="139"/>
      <c r="AF197" s="140"/>
      <c r="AG197" s="140"/>
      <c r="AH197" s="140"/>
      <c r="AI197" s="140"/>
      <c r="AJ197" s="140"/>
      <c r="AK197" s="140"/>
      <c r="AL197" s="140"/>
      <c r="AM197" s="140"/>
      <c r="AN197" s="140"/>
      <c r="AO197" s="140"/>
      <c r="AP197" s="140"/>
      <c r="AQ197" s="140"/>
      <c r="AR197" s="140"/>
      <c r="AS197" s="140"/>
      <c r="AT197" s="140"/>
      <c r="AU197" s="140"/>
      <c r="AV197" s="140"/>
      <c r="AW197" s="140"/>
      <c r="AX197" s="140"/>
      <c r="AY197" s="140"/>
      <c r="AZ197" s="140"/>
      <c r="BA197" s="140"/>
      <c r="BB197" s="140"/>
      <c r="BC197" s="140"/>
      <c r="BD197" s="140"/>
      <c r="BE197" s="140"/>
    </row>
    <row r="198" s="119" customFormat="1" ht="36" customHeight="1" outlineLevel="2" spans="1:57">
      <c r="A198" s="162">
        <f>1+N(A197)</f>
        <v>2</v>
      </c>
      <c r="B198" s="14" t="s">
        <v>68</v>
      </c>
      <c r="C198" s="15" t="s">
        <v>69</v>
      </c>
      <c r="D198" s="142" t="s">
        <v>70</v>
      </c>
      <c r="E198" s="143">
        <v>2.1</v>
      </c>
      <c r="F198" s="143">
        <f>$F$10</f>
        <v>12</v>
      </c>
      <c r="G198" s="143">
        <f>$G$10</f>
        <v>19.57</v>
      </c>
      <c r="H198" s="143">
        <f>$H$10</f>
        <v>0.5</v>
      </c>
      <c r="I198" s="17">
        <f>(F198+G198+H198)*$I$3</f>
        <v>3.207</v>
      </c>
      <c r="J198" s="18">
        <f>ROUND(SUM(F198:I198),2)</f>
        <v>35.28</v>
      </c>
      <c r="K198" s="19">
        <f>ROUND(J198*E198,2)</f>
        <v>74.09</v>
      </c>
      <c r="L198" s="135"/>
      <c r="M198" s="139">
        <v>1</v>
      </c>
      <c r="N198" s="139"/>
      <c r="O198" s="139"/>
      <c r="P198" s="37">
        <f>Q198+Q198*R198+S198+T198+U198</f>
        <v>32.07</v>
      </c>
      <c r="Q198" s="99">
        <f>$Q$10</f>
        <v>19</v>
      </c>
      <c r="R198" s="163">
        <f>$R$10</f>
        <v>0.03</v>
      </c>
      <c r="S198" s="99">
        <f>$S$10</f>
        <v>12</v>
      </c>
      <c r="T198" s="99">
        <f>$T$10</f>
        <v>0.3</v>
      </c>
      <c r="U198" s="99">
        <f>$U$10</f>
        <v>0.2</v>
      </c>
      <c r="V198" s="37">
        <f>P198*E198</f>
        <v>67.347</v>
      </c>
      <c r="W198" s="139"/>
      <c r="X198" s="139"/>
      <c r="Y198" s="139"/>
      <c r="Z198" s="139"/>
      <c r="AA198" s="139"/>
      <c r="AB198" s="139"/>
      <c r="AC198" s="139"/>
      <c r="AD198" s="139"/>
      <c r="AE198" s="139"/>
      <c r="AF198" s="140"/>
      <c r="AG198" s="140"/>
      <c r="AH198" s="140"/>
      <c r="AI198" s="140"/>
      <c r="AJ198" s="140"/>
      <c r="AK198" s="140"/>
      <c r="AL198" s="140"/>
      <c r="AM198" s="140"/>
      <c r="AN198" s="140"/>
      <c r="AO198" s="140"/>
      <c r="AP198" s="140"/>
      <c r="AQ198" s="140"/>
      <c r="AR198" s="140"/>
      <c r="AS198" s="140"/>
      <c r="AT198" s="140"/>
      <c r="AU198" s="140"/>
      <c r="AV198" s="140"/>
      <c r="AW198" s="140"/>
      <c r="AX198" s="140"/>
      <c r="AY198" s="140"/>
      <c r="AZ198" s="140"/>
      <c r="BA198" s="140"/>
      <c r="BB198" s="140"/>
      <c r="BC198" s="140"/>
      <c r="BD198" s="140"/>
      <c r="BE198" s="140"/>
    </row>
    <row r="199" s="119" customFormat="1" ht="24" customHeight="1" outlineLevel="1" spans="1:57">
      <c r="A199" s="141"/>
      <c r="B199" s="14" t="s">
        <v>73</v>
      </c>
      <c r="C199" s="15"/>
      <c r="D199" s="142"/>
      <c r="E199" s="143"/>
      <c r="F199" s="143"/>
      <c r="G199" s="143"/>
      <c r="H199" s="143"/>
      <c r="I199" s="143"/>
      <c r="J199" s="143"/>
      <c r="K199" s="144"/>
      <c r="L199" s="135"/>
      <c r="M199" s="139"/>
      <c r="N199" s="139"/>
      <c r="O199" s="139"/>
      <c r="P199" s="137"/>
      <c r="Q199" s="137"/>
      <c r="R199" s="138"/>
      <c r="S199" s="137"/>
      <c r="T199" s="137"/>
      <c r="U199" s="137"/>
      <c r="V199" s="137"/>
      <c r="W199" s="139"/>
      <c r="X199" s="139"/>
      <c r="Y199" s="139"/>
      <c r="Z199" s="139"/>
      <c r="AA199" s="139"/>
      <c r="AB199" s="139"/>
      <c r="AC199" s="139"/>
      <c r="AD199" s="139"/>
      <c r="AE199" s="139"/>
      <c r="AF199" s="140"/>
      <c r="AG199" s="140"/>
      <c r="AH199" s="140"/>
      <c r="AI199" s="140"/>
      <c r="AJ199" s="140"/>
      <c r="AK199" s="140"/>
      <c r="AL199" s="140"/>
      <c r="AM199" s="140"/>
      <c r="AN199" s="140"/>
      <c r="AO199" s="140"/>
      <c r="AP199" s="140"/>
      <c r="AQ199" s="140"/>
      <c r="AR199" s="140"/>
      <c r="AS199" s="140"/>
      <c r="AT199" s="140"/>
      <c r="AU199" s="140"/>
      <c r="AV199" s="140"/>
      <c r="AW199" s="140"/>
      <c r="AX199" s="140"/>
      <c r="AY199" s="140"/>
      <c r="AZ199" s="140"/>
      <c r="BA199" s="140"/>
      <c r="BB199" s="140"/>
      <c r="BC199" s="140"/>
      <c r="BD199" s="140"/>
      <c r="BE199" s="140"/>
    </row>
    <row r="200" s="119" customFormat="1" ht="72" customHeight="1" outlineLevel="2" spans="1:57">
      <c r="A200" s="162">
        <f>1+N(A199)</f>
        <v>1</v>
      </c>
      <c r="B200" s="165" t="s">
        <v>172</v>
      </c>
      <c r="C200" s="166" t="s">
        <v>173</v>
      </c>
      <c r="D200" s="165" t="s">
        <v>63</v>
      </c>
      <c r="E200" s="143">
        <v>27.004</v>
      </c>
      <c r="F200" s="143">
        <f>$F$179</f>
        <v>110</v>
      </c>
      <c r="G200" s="143">
        <f>$G$179</f>
        <v>85.5</v>
      </c>
      <c r="H200" s="143">
        <f>$H$179</f>
        <v>56.797</v>
      </c>
      <c r="I200" s="17">
        <f>(F200+G200+H200)*$I$3</f>
        <v>25.2297</v>
      </c>
      <c r="J200" s="18">
        <f>ROUND(SUM(F200:I200),2)</f>
        <v>277.53</v>
      </c>
      <c r="K200" s="19">
        <f>ROUND(J200*E200,2)</f>
        <v>7494.42</v>
      </c>
      <c r="L200" s="135"/>
      <c r="M200" s="139">
        <v>1</v>
      </c>
      <c r="N200" s="139"/>
      <c r="O200" s="139"/>
      <c r="P200" s="37">
        <f>Q200+Q200*R200+S200+T200+U200</f>
        <v>252.297</v>
      </c>
      <c r="Q200" s="99">
        <f>$Q$179</f>
        <v>85.5</v>
      </c>
      <c r="R200" s="163">
        <f>$R$179</f>
        <v>0</v>
      </c>
      <c r="S200" s="99">
        <f>$S$179</f>
        <v>110</v>
      </c>
      <c r="T200" s="99">
        <f>$T$179</f>
        <v>55.997</v>
      </c>
      <c r="U200" s="99">
        <f>$U$179</f>
        <v>0.8</v>
      </c>
      <c r="V200" s="37">
        <f>P200*E200</f>
        <v>6813.028188</v>
      </c>
      <c r="W200" s="139"/>
      <c r="X200" s="139"/>
      <c r="Y200" s="139"/>
      <c r="Z200" s="139"/>
      <c r="AA200" s="139"/>
      <c r="AB200" s="139"/>
      <c r="AC200" s="139"/>
      <c r="AD200" s="139"/>
      <c r="AE200" s="139"/>
      <c r="AF200" s="140"/>
      <c r="AG200" s="140"/>
      <c r="AH200" s="140"/>
      <c r="AI200" s="140"/>
      <c r="AJ200" s="140"/>
      <c r="AK200" s="140"/>
      <c r="AL200" s="140"/>
      <c r="AM200" s="140"/>
      <c r="AN200" s="140"/>
      <c r="AO200" s="140"/>
      <c r="AP200" s="140"/>
      <c r="AQ200" s="140"/>
      <c r="AR200" s="140"/>
      <c r="AS200" s="140"/>
      <c r="AT200" s="140"/>
      <c r="AU200" s="140"/>
      <c r="AV200" s="140"/>
      <c r="AW200" s="140"/>
      <c r="AX200" s="140"/>
      <c r="AY200" s="140"/>
      <c r="AZ200" s="140"/>
      <c r="BA200" s="140"/>
      <c r="BB200" s="140"/>
      <c r="BC200" s="140"/>
      <c r="BD200" s="140"/>
      <c r="BE200" s="140"/>
    </row>
    <row r="201" s="119" customFormat="1" ht="48" customHeight="1" outlineLevel="2" spans="1:57">
      <c r="A201" s="162">
        <f>1+N(A200)</f>
        <v>2</v>
      </c>
      <c r="B201" s="165" t="s">
        <v>91</v>
      </c>
      <c r="C201" s="166" t="s">
        <v>92</v>
      </c>
      <c r="D201" s="165" t="s">
        <v>70</v>
      </c>
      <c r="E201" s="143">
        <v>9.15</v>
      </c>
      <c r="F201" s="143">
        <f>$F$22</f>
        <v>12</v>
      </c>
      <c r="G201" s="143">
        <f>$G$22</f>
        <v>25.75</v>
      </c>
      <c r="H201" s="143">
        <f>$H$22</f>
        <v>3.8</v>
      </c>
      <c r="I201" s="17">
        <f>(F201+G201+H201)*$I$3</f>
        <v>4.155</v>
      </c>
      <c r="J201" s="18">
        <f>ROUND(SUM(F201:I201),2)</f>
        <v>45.71</v>
      </c>
      <c r="K201" s="19">
        <f>ROUND(J201*E201,2)</f>
        <v>418.25</v>
      </c>
      <c r="L201" s="135"/>
      <c r="M201" s="139">
        <v>1</v>
      </c>
      <c r="N201" s="139"/>
      <c r="O201" s="139"/>
      <c r="P201" s="37">
        <f>Q201+Q201*R201+S201+T201+U201</f>
        <v>41.55</v>
      </c>
      <c r="Q201" s="99">
        <f>$Q$22</f>
        <v>25</v>
      </c>
      <c r="R201" s="163">
        <f>$R$22</f>
        <v>0.03</v>
      </c>
      <c r="S201" s="99">
        <f>$S$22</f>
        <v>12</v>
      </c>
      <c r="T201" s="99">
        <f>$T$22</f>
        <v>3.5</v>
      </c>
      <c r="U201" s="99">
        <f>$U$22</f>
        <v>0.3</v>
      </c>
      <c r="V201" s="37">
        <f>P201*E201</f>
        <v>380.1825</v>
      </c>
      <c r="W201" s="139"/>
      <c r="X201" s="139"/>
      <c r="Y201" s="139"/>
      <c r="Z201" s="139"/>
      <c r="AA201" s="139"/>
      <c r="AB201" s="139"/>
      <c r="AC201" s="139"/>
      <c r="AD201" s="139"/>
      <c r="AE201" s="139"/>
      <c r="AF201" s="140"/>
      <c r="AG201" s="140"/>
      <c r="AH201" s="140"/>
      <c r="AI201" s="140"/>
      <c r="AJ201" s="140"/>
      <c r="AK201" s="140"/>
      <c r="AL201" s="140"/>
      <c r="AM201" s="140"/>
      <c r="AN201" s="140"/>
      <c r="AO201" s="140"/>
      <c r="AP201" s="140"/>
      <c r="AQ201" s="140"/>
      <c r="AR201" s="140"/>
      <c r="AS201" s="140"/>
      <c r="AT201" s="140"/>
      <c r="AU201" s="140"/>
      <c r="AV201" s="140"/>
      <c r="AW201" s="140"/>
      <c r="AX201" s="140"/>
      <c r="AY201" s="140"/>
      <c r="AZ201" s="140"/>
      <c r="BA201" s="140"/>
      <c r="BB201" s="140"/>
      <c r="BC201" s="140"/>
      <c r="BD201" s="140"/>
      <c r="BE201" s="140"/>
    </row>
    <row r="202" s="119" customFormat="1" ht="48" customHeight="1" outlineLevel="2" spans="1:57">
      <c r="A202" s="162">
        <f>1+N(A201)</f>
        <v>3</v>
      </c>
      <c r="B202" s="165" t="s">
        <v>97</v>
      </c>
      <c r="C202" s="166" t="s">
        <v>98</v>
      </c>
      <c r="D202" s="165" t="s">
        <v>70</v>
      </c>
      <c r="E202" s="143">
        <v>9.15</v>
      </c>
      <c r="F202" s="143">
        <f>$F$25</f>
        <v>22</v>
      </c>
      <c r="G202" s="143">
        <f>$G$25</f>
        <v>58.195</v>
      </c>
      <c r="H202" s="143">
        <f>$H$25</f>
        <v>6.3</v>
      </c>
      <c r="I202" s="17">
        <f>(F202+G202+H202)*$I$3</f>
        <v>8.6495</v>
      </c>
      <c r="J202" s="18">
        <f>ROUND(SUM(F202:I202),2)</f>
        <v>95.14</v>
      </c>
      <c r="K202" s="19">
        <f>ROUND(J202*E202,2)</f>
        <v>870.53</v>
      </c>
      <c r="L202" s="135"/>
      <c r="M202" s="139">
        <v>1</v>
      </c>
      <c r="N202" s="139"/>
      <c r="O202" s="139"/>
      <c r="P202" s="37">
        <f>Q202+Q202*R202+S202+T202+U202</f>
        <v>86.495</v>
      </c>
      <c r="Q202" s="99">
        <f>$Q$25</f>
        <v>56.5</v>
      </c>
      <c r="R202" s="163">
        <f>$R$25</f>
        <v>0.03</v>
      </c>
      <c r="S202" s="99">
        <f>$S$25</f>
        <v>22</v>
      </c>
      <c r="T202" s="99">
        <f>$T$25</f>
        <v>6</v>
      </c>
      <c r="U202" s="99">
        <f>$U$25</f>
        <v>0.3</v>
      </c>
      <c r="V202" s="37">
        <f>P202*E202</f>
        <v>791.42925</v>
      </c>
      <c r="W202" s="139"/>
      <c r="X202" s="139"/>
      <c r="Y202" s="139"/>
      <c r="Z202" s="139"/>
      <c r="AA202" s="139"/>
      <c r="AB202" s="139"/>
      <c r="AC202" s="139"/>
      <c r="AD202" s="139"/>
      <c r="AE202" s="139"/>
      <c r="AF202" s="140"/>
      <c r="AG202" s="140"/>
      <c r="AH202" s="140"/>
      <c r="AI202" s="140"/>
      <c r="AJ202" s="140"/>
      <c r="AK202" s="140"/>
      <c r="AL202" s="140"/>
      <c r="AM202" s="140"/>
      <c r="AN202" s="140"/>
      <c r="AO202" s="140"/>
      <c r="AP202" s="140"/>
      <c r="AQ202" s="140"/>
      <c r="AR202" s="140"/>
      <c r="AS202" s="140"/>
      <c r="AT202" s="140"/>
      <c r="AU202" s="140"/>
      <c r="AV202" s="140"/>
      <c r="AW202" s="140"/>
      <c r="AX202" s="140"/>
      <c r="AY202" s="140"/>
      <c r="AZ202" s="140"/>
      <c r="BA202" s="140"/>
      <c r="BB202" s="140"/>
      <c r="BC202" s="140"/>
      <c r="BD202" s="140"/>
      <c r="BE202" s="140"/>
    </row>
    <row r="203" s="119" customFormat="1" ht="48" customHeight="1" outlineLevel="2" spans="1:57">
      <c r="A203" s="162">
        <f>1+N(A202)</f>
        <v>4</v>
      </c>
      <c r="B203" s="165" t="s">
        <v>99</v>
      </c>
      <c r="C203" s="166" t="s">
        <v>100</v>
      </c>
      <c r="D203" s="165" t="s">
        <v>70</v>
      </c>
      <c r="E203" s="143">
        <v>9.15</v>
      </c>
      <c r="F203" s="143">
        <f>$F$26</f>
        <v>12</v>
      </c>
      <c r="G203" s="143">
        <f>$G$26</f>
        <v>23.4325</v>
      </c>
      <c r="H203" s="143">
        <f>$H$26</f>
        <v>3.8</v>
      </c>
      <c r="I203" s="17">
        <f>(F203+G203+H203)*$I$3</f>
        <v>3.92325</v>
      </c>
      <c r="J203" s="18">
        <f>ROUND(SUM(F203:I203),2)</f>
        <v>43.16</v>
      </c>
      <c r="K203" s="19">
        <f>ROUND(J203*E203,2)</f>
        <v>394.91</v>
      </c>
      <c r="L203" s="135"/>
      <c r="M203" s="139">
        <v>1</v>
      </c>
      <c r="N203" s="139"/>
      <c r="O203" s="139"/>
      <c r="P203" s="37">
        <f>Q203+Q203*R203+S203+T203+U203</f>
        <v>39.2325</v>
      </c>
      <c r="Q203" s="99">
        <f>$Q$26</f>
        <v>22.75</v>
      </c>
      <c r="R203" s="163">
        <f>$R$26</f>
        <v>0.03</v>
      </c>
      <c r="S203" s="99">
        <f>$S$26</f>
        <v>12</v>
      </c>
      <c r="T203" s="99">
        <f>$T$26</f>
        <v>3.5</v>
      </c>
      <c r="U203" s="99">
        <f>$U$26</f>
        <v>0.3</v>
      </c>
      <c r="V203" s="37">
        <f>P203*E203</f>
        <v>358.977375</v>
      </c>
      <c r="W203" s="139"/>
      <c r="X203" s="139"/>
      <c r="Y203" s="139"/>
      <c r="Z203" s="139"/>
      <c r="AA203" s="139"/>
      <c r="AB203" s="139"/>
      <c r="AC203" s="139"/>
      <c r="AD203" s="139"/>
      <c r="AE203" s="139"/>
      <c r="AF203" s="140"/>
      <c r="AG203" s="140"/>
      <c r="AH203" s="140"/>
      <c r="AI203" s="140"/>
      <c r="AJ203" s="140"/>
      <c r="AK203" s="140"/>
      <c r="AL203" s="140"/>
      <c r="AM203" s="140"/>
      <c r="AN203" s="140"/>
      <c r="AO203" s="140"/>
      <c r="AP203" s="140"/>
      <c r="AQ203" s="140"/>
      <c r="AR203" s="140"/>
      <c r="AS203" s="140"/>
      <c r="AT203" s="140"/>
      <c r="AU203" s="140"/>
      <c r="AV203" s="140"/>
      <c r="AW203" s="140"/>
      <c r="AX203" s="140"/>
      <c r="AY203" s="140"/>
      <c r="AZ203" s="140"/>
      <c r="BA203" s="140"/>
      <c r="BB203" s="140"/>
      <c r="BC203" s="140"/>
      <c r="BD203" s="140"/>
      <c r="BE203" s="140"/>
    </row>
    <row r="204" s="119" customFormat="1" ht="24" customHeight="1" outlineLevel="1" spans="1:57">
      <c r="A204" s="141"/>
      <c r="B204" s="14" t="s">
        <v>101</v>
      </c>
      <c r="C204" s="15"/>
      <c r="D204" s="142"/>
      <c r="E204" s="143"/>
      <c r="F204" s="143"/>
      <c r="G204" s="143"/>
      <c r="H204" s="143"/>
      <c r="I204" s="143"/>
      <c r="J204" s="143"/>
      <c r="K204" s="144"/>
      <c r="L204" s="135"/>
      <c r="M204" s="139"/>
      <c r="N204" s="139"/>
      <c r="O204" s="139"/>
      <c r="P204" s="137"/>
      <c r="Q204" s="137"/>
      <c r="R204" s="138"/>
      <c r="S204" s="137"/>
      <c r="T204" s="137"/>
      <c r="U204" s="137"/>
      <c r="V204" s="137"/>
      <c r="W204" s="139"/>
      <c r="X204" s="139"/>
      <c r="Y204" s="139"/>
      <c r="Z204" s="139"/>
      <c r="AA204" s="139"/>
      <c r="AB204" s="139"/>
      <c r="AC204" s="139"/>
      <c r="AD204" s="139"/>
      <c r="AE204" s="139"/>
      <c r="AF204" s="140"/>
      <c r="AG204" s="140"/>
      <c r="AH204" s="140"/>
      <c r="AI204" s="140"/>
      <c r="AJ204" s="140"/>
      <c r="AK204" s="140"/>
      <c r="AL204" s="140"/>
      <c r="AM204" s="140"/>
      <c r="AN204" s="140"/>
      <c r="AO204" s="140"/>
      <c r="AP204" s="140"/>
      <c r="AQ204" s="140"/>
      <c r="AR204" s="140"/>
      <c r="AS204" s="140"/>
      <c r="AT204" s="140"/>
      <c r="AU204" s="140"/>
      <c r="AV204" s="140"/>
      <c r="AW204" s="140"/>
      <c r="AX204" s="140"/>
      <c r="AY204" s="140"/>
      <c r="AZ204" s="140"/>
      <c r="BA204" s="140"/>
      <c r="BB204" s="140"/>
      <c r="BC204" s="140"/>
      <c r="BD204" s="140"/>
      <c r="BE204" s="140"/>
    </row>
    <row r="205" s="119" customFormat="1" ht="96" customHeight="1" outlineLevel="2" spans="1:57">
      <c r="A205" s="162">
        <f>1+N(A204)</f>
        <v>1</v>
      </c>
      <c r="B205" s="14" t="s">
        <v>102</v>
      </c>
      <c r="C205" s="167" t="s">
        <v>103</v>
      </c>
      <c r="D205" s="142" t="s">
        <v>63</v>
      </c>
      <c r="E205" s="143">
        <v>21.5</v>
      </c>
      <c r="F205" s="143">
        <f>$F$28</f>
        <v>70</v>
      </c>
      <c r="G205" s="143">
        <f>$G$28</f>
        <v>0</v>
      </c>
      <c r="H205" s="143">
        <f>$H$28</f>
        <v>66.711</v>
      </c>
      <c r="I205" s="17">
        <f>(F205+G205+H205)*$I$3</f>
        <v>13.6711</v>
      </c>
      <c r="J205" s="18">
        <f>ROUND(SUM(F205:I205),2)</f>
        <v>150.38</v>
      </c>
      <c r="K205" s="19">
        <f>ROUND(J205*E205,2)</f>
        <v>3233.17</v>
      </c>
      <c r="L205" s="135"/>
      <c r="M205" s="139">
        <v>1</v>
      </c>
      <c r="N205" s="139"/>
      <c r="O205" s="139"/>
      <c r="P205" s="37">
        <f>Q205+Q205*R205+S205+T205+U205</f>
        <v>136.711</v>
      </c>
      <c r="Q205" s="99">
        <f>$Q$28</f>
        <v>0</v>
      </c>
      <c r="R205" s="163">
        <f>$R$28</f>
        <v>0.01</v>
      </c>
      <c r="S205" s="99">
        <f>$S$28</f>
        <v>70</v>
      </c>
      <c r="T205" s="99">
        <f>$T$28</f>
        <v>64.711</v>
      </c>
      <c r="U205" s="99">
        <f>$U$28</f>
        <v>2</v>
      </c>
      <c r="V205" s="37">
        <f>P205*E205</f>
        <v>2939.2865</v>
      </c>
      <c r="W205" s="139"/>
      <c r="X205" s="139"/>
      <c r="Y205" s="139"/>
      <c r="Z205" s="139"/>
      <c r="AA205" s="139"/>
      <c r="AB205" s="139"/>
      <c r="AC205" s="139"/>
      <c r="AD205" s="139"/>
      <c r="AE205" s="139"/>
      <c r="AF205" s="140"/>
      <c r="AG205" s="140"/>
      <c r="AH205" s="140"/>
      <c r="AI205" s="140"/>
      <c r="AJ205" s="140"/>
      <c r="AK205" s="140"/>
      <c r="AL205" s="140"/>
      <c r="AM205" s="140"/>
      <c r="AN205" s="140"/>
      <c r="AO205" s="140"/>
      <c r="AP205" s="140"/>
      <c r="AQ205" s="140"/>
      <c r="AR205" s="140"/>
      <c r="AS205" s="140"/>
      <c r="AT205" s="140"/>
      <c r="AU205" s="140"/>
      <c r="AV205" s="140"/>
      <c r="AW205" s="140"/>
      <c r="AX205" s="140"/>
      <c r="AY205" s="140"/>
      <c r="AZ205" s="140"/>
      <c r="BA205" s="140"/>
      <c r="BB205" s="140"/>
      <c r="BC205" s="140"/>
      <c r="BD205" s="140"/>
      <c r="BE205" s="140"/>
    </row>
    <row r="206" s="119" customFormat="1" ht="72" customHeight="1" outlineLevel="2" spans="1:57">
      <c r="A206" s="162">
        <f>1+N(A205)</f>
        <v>2</v>
      </c>
      <c r="B206" s="14" t="s">
        <v>110</v>
      </c>
      <c r="C206" s="167" t="s">
        <v>111</v>
      </c>
      <c r="D206" s="142" t="s">
        <v>63</v>
      </c>
      <c r="E206" s="143">
        <v>21.5</v>
      </c>
      <c r="F206" s="143">
        <f>$F$32</f>
        <v>45</v>
      </c>
      <c r="G206" s="143">
        <f>$G$32</f>
        <v>85.5</v>
      </c>
      <c r="H206" s="143">
        <f>$H$32</f>
        <v>7.3</v>
      </c>
      <c r="I206" s="17">
        <f>(F206+G206+H206)*$I$3</f>
        <v>13.78</v>
      </c>
      <c r="J206" s="18">
        <f>ROUND(SUM(F206:I206),2)</f>
        <v>151.58</v>
      </c>
      <c r="K206" s="19">
        <f>ROUND(J206*E206,2)</f>
        <v>3258.97</v>
      </c>
      <c r="L206" s="135"/>
      <c r="M206" s="139">
        <v>1</v>
      </c>
      <c r="N206" s="139"/>
      <c r="O206" s="139"/>
      <c r="P206" s="37">
        <f>Q206+Q206*R206+S206+T206+U206</f>
        <v>137.8</v>
      </c>
      <c r="Q206" s="99">
        <f>$Q$32</f>
        <v>85.5</v>
      </c>
      <c r="R206" s="163">
        <f>$R$32</f>
        <v>0</v>
      </c>
      <c r="S206" s="99">
        <f>$S$32</f>
        <v>45</v>
      </c>
      <c r="T206" s="99">
        <f>$T$32</f>
        <v>6.5</v>
      </c>
      <c r="U206" s="99">
        <f>$U$32</f>
        <v>0.8</v>
      </c>
      <c r="V206" s="37">
        <f>P206*E206</f>
        <v>2962.7</v>
      </c>
      <c r="W206" s="139"/>
      <c r="X206" s="139"/>
      <c r="Y206" s="139"/>
      <c r="Z206" s="139"/>
      <c r="AA206" s="139"/>
      <c r="AB206" s="139"/>
      <c r="AC206" s="139"/>
      <c r="AD206" s="139"/>
      <c r="AE206" s="139"/>
      <c r="AF206" s="140"/>
      <c r="AG206" s="140"/>
      <c r="AH206" s="140"/>
      <c r="AI206" s="140"/>
      <c r="AJ206" s="140"/>
      <c r="AK206" s="140"/>
      <c r="AL206" s="140"/>
      <c r="AM206" s="140"/>
      <c r="AN206" s="140"/>
      <c r="AO206" s="140"/>
      <c r="AP206" s="140"/>
      <c r="AQ206" s="140"/>
      <c r="AR206" s="140"/>
      <c r="AS206" s="140"/>
      <c r="AT206" s="140"/>
      <c r="AU206" s="140"/>
      <c r="AV206" s="140"/>
      <c r="AW206" s="140"/>
      <c r="AX206" s="140"/>
      <c r="AY206" s="140"/>
      <c r="AZ206" s="140"/>
      <c r="BA206" s="140"/>
      <c r="BB206" s="140"/>
      <c r="BC206" s="140"/>
      <c r="BD206" s="140"/>
      <c r="BE206" s="140"/>
    </row>
    <row r="207" s="119" customFormat="1" ht="24" customHeight="1" outlineLevel="1" spans="1:57">
      <c r="A207" s="141"/>
      <c r="B207" s="14" t="s">
        <v>112</v>
      </c>
      <c r="C207" s="15"/>
      <c r="D207" s="142"/>
      <c r="E207" s="143"/>
      <c r="F207" s="143"/>
      <c r="G207" s="143"/>
      <c r="H207" s="143"/>
      <c r="I207" s="143"/>
      <c r="J207" s="143"/>
      <c r="K207" s="144"/>
      <c r="L207" s="135"/>
      <c r="M207" s="139"/>
      <c r="N207" s="139"/>
      <c r="O207" s="139"/>
      <c r="P207" s="137"/>
      <c r="Q207" s="137"/>
      <c r="R207" s="138"/>
      <c r="S207" s="137"/>
      <c r="T207" s="137"/>
      <c r="U207" s="137"/>
      <c r="V207" s="137"/>
      <c r="W207" s="139"/>
      <c r="X207" s="139"/>
      <c r="Y207" s="139"/>
      <c r="Z207" s="139"/>
      <c r="AA207" s="139"/>
      <c r="AB207" s="139"/>
      <c r="AC207" s="139"/>
      <c r="AD207" s="139"/>
      <c r="AE207" s="139"/>
      <c r="AF207" s="140"/>
      <c r="AG207" s="140"/>
      <c r="AH207" s="140"/>
      <c r="AI207" s="140"/>
      <c r="AJ207" s="140"/>
      <c r="AK207" s="140"/>
      <c r="AL207" s="140"/>
      <c r="AM207" s="140"/>
      <c r="AN207" s="140"/>
      <c r="AO207" s="140"/>
      <c r="AP207" s="140"/>
      <c r="AQ207" s="140"/>
      <c r="AR207" s="140"/>
      <c r="AS207" s="140"/>
      <c r="AT207" s="140"/>
      <c r="AU207" s="140"/>
      <c r="AV207" s="140"/>
      <c r="AW207" s="140"/>
      <c r="AX207" s="140"/>
      <c r="AY207" s="140"/>
      <c r="AZ207" s="140"/>
      <c r="BA207" s="140"/>
      <c r="BB207" s="140"/>
      <c r="BC207" s="140"/>
      <c r="BD207" s="140"/>
      <c r="BE207" s="140"/>
    </row>
    <row r="208" s="119" customFormat="1" ht="24" customHeight="1" outlineLevel="1" spans="1:57">
      <c r="A208" s="132" t="s">
        <v>127</v>
      </c>
      <c r="B208" s="8" t="s">
        <v>182</v>
      </c>
      <c r="C208" s="8"/>
      <c r="D208" s="133"/>
      <c r="E208" s="134"/>
      <c r="F208" s="134"/>
      <c r="G208" s="134"/>
      <c r="H208" s="134"/>
      <c r="I208" s="134"/>
      <c r="J208" s="134"/>
      <c r="K208" s="11"/>
      <c r="L208" s="135"/>
      <c r="M208" s="139"/>
      <c r="N208" s="139"/>
      <c r="O208" s="170" t="str">
        <f>_xlfn.DISPIMG("ID_3EDF700A401B40FA9BCCF945FE0F78E7",1)</f>
        <v>=DISPIMG("ID_3EDF700A401B40FA9BCCF945FE0F78E7",1)</v>
      </c>
      <c r="P208" s="137"/>
      <c r="Q208" s="137"/>
      <c r="R208" s="138"/>
      <c r="S208" s="137"/>
      <c r="T208" s="137"/>
      <c r="U208" s="137"/>
      <c r="V208" s="137"/>
      <c r="W208" s="139"/>
      <c r="X208" s="139"/>
      <c r="Y208" s="139"/>
      <c r="Z208" s="139"/>
      <c r="AA208" s="139"/>
      <c r="AB208" s="139"/>
      <c r="AC208" s="139"/>
      <c r="AD208" s="139"/>
      <c r="AE208" s="139"/>
      <c r="AF208" s="140"/>
      <c r="AG208" s="140"/>
      <c r="AH208" s="140"/>
      <c r="AI208" s="140"/>
      <c r="AJ208" s="140"/>
      <c r="AK208" s="140"/>
      <c r="AL208" s="140"/>
      <c r="AM208" s="140"/>
      <c r="AN208" s="140"/>
      <c r="AO208" s="140"/>
      <c r="AP208" s="140"/>
      <c r="AQ208" s="140"/>
      <c r="AR208" s="140"/>
      <c r="AS208" s="140"/>
      <c r="AT208" s="140"/>
      <c r="AU208" s="140"/>
      <c r="AV208" s="140"/>
      <c r="AW208" s="140"/>
      <c r="AX208" s="140"/>
      <c r="AY208" s="140"/>
      <c r="AZ208" s="140"/>
      <c r="BA208" s="140"/>
      <c r="BB208" s="140"/>
      <c r="BC208" s="140"/>
      <c r="BD208" s="140"/>
      <c r="BE208" s="140"/>
    </row>
    <row r="209" s="119" customFormat="1" ht="24" customHeight="1" outlineLevel="1" spans="1:57">
      <c r="A209" s="141"/>
      <c r="B209" s="14" t="s">
        <v>60</v>
      </c>
      <c r="C209" s="15"/>
      <c r="D209" s="142"/>
      <c r="E209" s="143"/>
      <c r="F209" s="143"/>
      <c r="G209" s="143"/>
      <c r="H209" s="143"/>
      <c r="I209" s="143"/>
      <c r="J209" s="143"/>
      <c r="K209" s="144"/>
      <c r="L209" s="135"/>
      <c r="M209" s="139"/>
      <c r="N209" s="139"/>
      <c r="O209" s="139"/>
      <c r="P209" s="137"/>
      <c r="Q209" s="137"/>
      <c r="R209" s="138"/>
      <c r="S209" s="137"/>
      <c r="T209" s="137"/>
      <c r="U209" s="137"/>
      <c r="V209" s="137"/>
      <c r="W209" s="139"/>
      <c r="X209" s="139"/>
      <c r="Y209" s="139"/>
      <c r="Z209" s="139"/>
      <c r="AA209" s="139"/>
      <c r="AB209" s="139"/>
      <c r="AC209" s="139"/>
      <c r="AD209" s="139"/>
      <c r="AE209" s="139"/>
      <c r="AF209" s="140"/>
      <c r="AG209" s="140"/>
      <c r="AH209" s="140"/>
      <c r="AI209" s="140"/>
      <c r="AJ209" s="140"/>
      <c r="AK209" s="140"/>
      <c r="AL209" s="140"/>
      <c r="AM209" s="140"/>
      <c r="AN209" s="140"/>
      <c r="AO209" s="140"/>
      <c r="AP209" s="140"/>
      <c r="AQ209" s="140"/>
      <c r="AR209" s="140"/>
      <c r="AS209" s="140"/>
      <c r="AT209" s="140"/>
      <c r="AU209" s="140"/>
      <c r="AV209" s="140"/>
      <c r="AW209" s="140"/>
      <c r="AX209" s="140"/>
      <c r="AY209" s="140"/>
      <c r="AZ209" s="140"/>
      <c r="BA209" s="140"/>
      <c r="BB209" s="140"/>
      <c r="BC209" s="140"/>
      <c r="BD209" s="140"/>
      <c r="BE209" s="140"/>
    </row>
    <row r="210" s="119" customFormat="1" ht="60" customHeight="1" outlineLevel="2" spans="1:57">
      <c r="A210" s="145">
        <f t="shared" ref="A210:A216" si="57">1+N(A209)</f>
        <v>1</v>
      </c>
      <c r="B210" s="146" t="s">
        <v>183</v>
      </c>
      <c r="C210" s="147" t="s">
        <v>184</v>
      </c>
      <c r="D210" s="148" t="s">
        <v>63</v>
      </c>
      <c r="E210" s="149">
        <v>3.12</v>
      </c>
      <c r="F210" s="149">
        <f>S210*$S$1</f>
        <v>10.5</v>
      </c>
      <c r="G210" s="149">
        <f>Q210*(1+R210)*$Q$1</f>
        <v>72.72</v>
      </c>
      <c r="H210" s="149">
        <f>(T210+U210)*$T$1</f>
        <v>3.7</v>
      </c>
      <c r="I210" s="150">
        <f t="shared" ref="I210:I216" si="58">(F210+G210+H210)*$I$3</f>
        <v>8.692</v>
      </c>
      <c r="J210" s="151">
        <f t="shared" ref="J210:J216" si="59">ROUND(SUM(F210:I210),2)</f>
        <v>95.61</v>
      </c>
      <c r="K210" s="152">
        <f t="shared" ref="K210:K216" si="60">ROUND(J210*E210,2)</f>
        <v>298.3</v>
      </c>
      <c r="L210" s="153"/>
      <c r="M210" s="139">
        <v>1</v>
      </c>
      <c r="N210" s="139"/>
      <c r="O210" s="139"/>
      <c r="P210" s="37">
        <f t="shared" ref="P210:P216" si="61">Q210+Q210*R210+S210+T210+U210</f>
        <v>86.92</v>
      </c>
      <c r="Q210" s="71">
        <v>72</v>
      </c>
      <c r="R210" s="157">
        <v>0.01</v>
      </c>
      <c r="S210" s="71">
        <v>10.5</v>
      </c>
      <c r="T210" s="71">
        <v>3.5</v>
      </c>
      <c r="U210" s="71">
        <v>0.2</v>
      </c>
      <c r="V210" s="37">
        <f t="shared" ref="V210:V216" si="62">P210*E210</f>
        <v>271.1904</v>
      </c>
      <c r="W210" s="139"/>
      <c r="X210" s="139"/>
      <c r="Y210" s="139"/>
      <c r="Z210" s="139"/>
      <c r="AA210" s="139"/>
      <c r="AB210" s="139"/>
      <c r="AC210" s="139"/>
      <c r="AD210" s="139"/>
      <c r="AE210" s="139"/>
      <c r="AF210" s="140"/>
      <c r="AG210" s="140"/>
      <c r="AH210" s="140"/>
      <c r="AI210" s="140"/>
      <c r="AJ210" s="140"/>
      <c r="AK210" s="140"/>
      <c r="AL210" s="140"/>
      <c r="AM210" s="140"/>
      <c r="AN210" s="140"/>
      <c r="AO210" s="140"/>
      <c r="AP210" s="140"/>
      <c r="AQ210" s="140"/>
      <c r="AR210" s="140"/>
      <c r="AS210" s="140"/>
      <c r="AT210" s="140"/>
      <c r="AU210" s="140"/>
      <c r="AV210" s="140"/>
      <c r="AW210" s="140"/>
      <c r="AX210" s="140"/>
      <c r="AY210" s="140"/>
      <c r="AZ210" s="140"/>
      <c r="BA210" s="140"/>
      <c r="BB210" s="140"/>
      <c r="BC210" s="140"/>
      <c r="BD210" s="140"/>
      <c r="BE210" s="140"/>
    </row>
    <row r="211" s="119" customFormat="1" ht="60" customHeight="1" outlineLevel="2" spans="1:57">
      <c r="A211" s="145">
        <f t="shared" si="57"/>
        <v>2</v>
      </c>
      <c r="B211" s="146" t="s">
        <v>185</v>
      </c>
      <c r="C211" s="147" t="s">
        <v>186</v>
      </c>
      <c r="D211" s="148" t="s">
        <v>63</v>
      </c>
      <c r="E211" s="149">
        <v>3.12</v>
      </c>
      <c r="F211" s="149">
        <f>S211*$S$1</f>
        <v>22</v>
      </c>
      <c r="G211" s="149">
        <f>Q211*(1+R211)*$Q$1</f>
        <v>0</v>
      </c>
      <c r="H211" s="149">
        <f>(T211+U211)*$T$1</f>
        <v>8.7</v>
      </c>
      <c r="I211" s="150">
        <f t="shared" si="58"/>
        <v>3.07</v>
      </c>
      <c r="J211" s="151">
        <f t="shared" si="59"/>
        <v>33.77</v>
      </c>
      <c r="K211" s="152">
        <f t="shared" si="60"/>
        <v>105.36</v>
      </c>
      <c r="L211" s="153"/>
      <c r="M211" s="139">
        <v>1</v>
      </c>
      <c r="N211" s="139"/>
      <c r="O211" s="139"/>
      <c r="P211" s="37">
        <f t="shared" si="61"/>
        <v>30.7</v>
      </c>
      <c r="Q211" s="71"/>
      <c r="R211" s="157">
        <v>0</v>
      </c>
      <c r="S211" s="71">
        <v>22</v>
      </c>
      <c r="T211" s="71">
        <v>8.5</v>
      </c>
      <c r="U211" s="71">
        <v>0.2</v>
      </c>
      <c r="V211" s="37">
        <f t="shared" si="62"/>
        <v>95.784</v>
      </c>
      <c r="W211" s="139"/>
      <c r="X211" s="139"/>
      <c r="Y211" s="139"/>
      <c r="Z211" s="139"/>
      <c r="AA211" s="139"/>
      <c r="AB211" s="139"/>
      <c r="AC211" s="139"/>
      <c r="AD211" s="139"/>
      <c r="AE211" s="139"/>
      <c r="AF211" s="140"/>
      <c r="AG211" s="140"/>
      <c r="AH211" s="140"/>
      <c r="AI211" s="140"/>
      <c r="AJ211" s="140"/>
      <c r="AK211" s="140"/>
      <c r="AL211" s="140"/>
      <c r="AM211" s="140"/>
      <c r="AN211" s="140"/>
      <c r="AO211" s="140"/>
      <c r="AP211" s="140"/>
      <c r="AQ211" s="140"/>
      <c r="AR211" s="140"/>
      <c r="AS211" s="140"/>
      <c r="AT211" s="140"/>
      <c r="AU211" s="140"/>
      <c r="AV211" s="140"/>
      <c r="AW211" s="140"/>
      <c r="AX211" s="140"/>
      <c r="AY211" s="140"/>
      <c r="AZ211" s="140"/>
      <c r="BA211" s="140"/>
      <c r="BB211" s="140"/>
      <c r="BC211" s="140"/>
      <c r="BD211" s="140"/>
      <c r="BE211" s="140"/>
    </row>
    <row r="212" s="119" customFormat="1" ht="48" customHeight="1" outlineLevel="2" spans="1:57">
      <c r="A212" s="145">
        <f t="shared" si="57"/>
        <v>3</v>
      </c>
      <c r="B212" s="146" t="s">
        <v>187</v>
      </c>
      <c r="C212" s="147" t="s">
        <v>188</v>
      </c>
      <c r="D212" s="148" t="s">
        <v>63</v>
      </c>
      <c r="E212" s="149">
        <v>3.12</v>
      </c>
      <c r="F212" s="149">
        <f>S212*$S$1</f>
        <v>30</v>
      </c>
      <c r="G212" s="149">
        <f>Q212*(1+R212)*$Q$1</f>
        <v>18.685</v>
      </c>
      <c r="H212" s="149">
        <f>(T212+U212)*$T$1</f>
        <v>13.5</v>
      </c>
      <c r="I212" s="150">
        <f t="shared" si="58"/>
        <v>6.2185</v>
      </c>
      <c r="J212" s="151">
        <f t="shared" si="59"/>
        <v>68.4</v>
      </c>
      <c r="K212" s="152">
        <f t="shared" si="60"/>
        <v>213.41</v>
      </c>
      <c r="L212" s="153"/>
      <c r="M212" s="139">
        <v>1</v>
      </c>
      <c r="N212" s="139"/>
      <c r="O212" s="139"/>
      <c r="P212" s="37">
        <f t="shared" si="61"/>
        <v>62.185</v>
      </c>
      <c r="Q212" s="71">
        <v>18.5</v>
      </c>
      <c r="R212" s="157">
        <v>0.01</v>
      </c>
      <c r="S212" s="71">
        <v>30</v>
      </c>
      <c r="T212" s="71">
        <v>12</v>
      </c>
      <c r="U212" s="71">
        <v>1.5</v>
      </c>
      <c r="V212" s="37">
        <f t="shared" si="62"/>
        <v>194.0172</v>
      </c>
      <c r="W212" s="139"/>
      <c r="X212" s="139"/>
      <c r="Y212" s="139"/>
      <c r="Z212" s="139"/>
      <c r="AA212" s="139"/>
      <c r="AB212" s="139"/>
      <c r="AC212" s="139"/>
      <c r="AD212" s="139"/>
      <c r="AE212" s="139"/>
      <c r="AF212" s="140"/>
      <c r="AG212" s="140"/>
      <c r="AH212" s="140"/>
      <c r="AI212" s="140"/>
      <c r="AJ212" s="140"/>
      <c r="AK212" s="140"/>
      <c r="AL212" s="140"/>
      <c r="AM212" s="140"/>
      <c r="AN212" s="140"/>
      <c r="AO212" s="140"/>
      <c r="AP212" s="140"/>
      <c r="AQ212" s="140"/>
      <c r="AR212" s="140"/>
      <c r="AS212" s="140"/>
      <c r="AT212" s="140"/>
      <c r="AU212" s="140"/>
      <c r="AV212" s="140"/>
      <c r="AW212" s="140"/>
      <c r="AX212" s="140"/>
      <c r="AY212" s="140"/>
      <c r="AZ212" s="140"/>
      <c r="BA212" s="140"/>
      <c r="BB212" s="140"/>
      <c r="BC212" s="140"/>
      <c r="BD212" s="140"/>
      <c r="BE212" s="140"/>
    </row>
    <row r="213" s="119" customFormat="1" ht="48" customHeight="1" outlineLevel="2" spans="1:57">
      <c r="A213" s="145">
        <f t="shared" si="57"/>
        <v>4</v>
      </c>
      <c r="B213" s="158" t="s">
        <v>189</v>
      </c>
      <c r="C213" s="173" t="s">
        <v>190</v>
      </c>
      <c r="D213" s="148" t="s">
        <v>63</v>
      </c>
      <c r="E213" s="149">
        <v>3.12</v>
      </c>
      <c r="F213" s="149">
        <f>S213*$S$1</f>
        <v>42</v>
      </c>
      <c r="G213" s="149">
        <f>Q213*(1+R213)*$Q$1</f>
        <v>30.3</v>
      </c>
      <c r="H213" s="149">
        <f>(T213+U213)*$T$1</f>
        <v>13.5</v>
      </c>
      <c r="I213" s="150">
        <f t="shared" si="58"/>
        <v>8.58</v>
      </c>
      <c r="J213" s="151">
        <f t="shared" si="59"/>
        <v>94.38</v>
      </c>
      <c r="K213" s="152">
        <f t="shared" si="60"/>
        <v>294.47</v>
      </c>
      <c r="L213" s="153"/>
      <c r="M213" s="139">
        <v>1</v>
      </c>
      <c r="N213" s="139"/>
      <c r="O213" s="139"/>
      <c r="P213" s="37">
        <f t="shared" si="61"/>
        <v>85.8</v>
      </c>
      <c r="Q213" s="71">
        <v>30</v>
      </c>
      <c r="R213" s="157">
        <v>0.01</v>
      </c>
      <c r="S213" s="71">
        <v>42</v>
      </c>
      <c r="T213" s="71">
        <v>12</v>
      </c>
      <c r="U213" s="71">
        <v>1.5</v>
      </c>
      <c r="V213" s="37">
        <f t="shared" si="62"/>
        <v>267.696</v>
      </c>
      <c r="W213" s="139"/>
      <c r="X213" s="139"/>
      <c r="Y213" s="139"/>
      <c r="Z213" s="139"/>
      <c r="AA213" s="139"/>
      <c r="AB213" s="139"/>
      <c r="AC213" s="139"/>
      <c r="AD213" s="139"/>
      <c r="AE213" s="139"/>
      <c r="AF213" s="140"/>
      <c r="AG213" s="140"/>
      <c r="AH213" s="140"/>
      <c r="AI213" s="140"/>
      <c r="AJ213" s="140"/>
      <c r="AK213" s="140"/>
      <c r="AL213" s="140"/>
      <c r="AM213" s="140"/>
      <c r="AN213" s="140"/>
      <c r="AO213" s="140"/>
      <c r="AP213" s="140"/>
      <c r="AQ213" s="140"/>
      <c r="AR213" s="140"/>
      <c r="AS213" s="140"/>
      <c r="AT213" s="140"/>
      <c r="AU213" s="140"/>
      <c r="AV213" s="140"/>
      <c r="AW213" s="140"/>
      <c r="AX213" s="140"/>
      <c r="AY213" s="140"/>
      <c r="AZ213" s="140"/>
      <c r="BA213" s="140"/>
      <c r="BB213" s="140"/>
      <c r="BC213" s="140"/>
      <c r="BD213" s="140"/>
      <c r="BE213" s="140"/>
    </row>
    <row r="214" s="119" customFormat="1" ht="84" customHeight="1" outlineLevel="2" spans="1:57">
      <c r="A214" s="162">
        <f t="shared" si="57"/>
        <v>5</v>
      </c>
      <c r="B214" s="14" t="s">
        <v>66</v>
      </c>
      <c r="C214" s="15" t="s">
        <v>67</v>
      </c>
      <c r="D214" s="142" t="s">
        <v>63</v>
      </c>
      <c r="E214" s="143">
        <v>3.12</v>
      </c>
      <c r="F214" s="143">
        <f>$F$9</f>
        <v>77</v>
      </c>
      <c r="G214" s="143">
        <f>$G$9</f>
        <v>56.65</v>
      </c>
      <c r="H214" s="17">
        <f>$H$9</f>
        <v>50.6</v>
      </c>
      <c r="I214" s="17">
        <f t="shared" si="58"/>
        <v>18.425</v>
      </c>
      <c r="J214" s="18">
        <f t="shared" si="59"/>
        <v>202.68</v>
      </c>
      <c r="K214" s="19">
        <f t="shared" si="60"/>
        <v>632.36</v>
      </c>
      <c r="L214" s="135"/>
      <c r="M214" s="139">
        <v>1</v>
      </c>
      <c r="N214" s="139"/>
      <c r="O214" s="139"/>
      <c r="P214" s="37">
        <f t="shared" si="61"/>
        <v>184.25</v>
      </c>
      <c r="Q214" s="99">
        <f>$Q$9</f>
        <v>55</v>
      </c>
      <c r="R214" s="163">
        <f>$R$9</f>
        <v>0.03</v>
      </c>
      <c r="S214" s="99">
        <f>$S$9</f>
        <v>77</v>
      </c>
      <c r="T214" s="99">
        <f>$T$9</f>
        <v>50.1</v>
      </c>
      <c r="U214" s="99">
        <f>$U$9</f>
        <v>0.5</v>
      </c>
      <c r="V214" s="37">
        <f t="shared" si="62"/>
        <v>574.86</v>
      </c>
      <c r="W214" s="139"/>
      <c r="X214" s="139"/>
      <c r="Y214" s="139"/>
      <c r="Z214" s="139"/>
      <c r="AA214" s="139"/>
      <c r="AB214" s="139"/>
      <c r="AC214" s="139"/>
      <c r="AD214" s="139"/>
      <c r="AE214" s="139"/>
      <c r="AF214" s="140"/>
      <c r="AG214" s="140"/>
      <c r="AH214" s="140"/>
      <c r="AI214" s="140"/>
      <c r="AJ214" s="140"/>
      <c r="AK214" s="140"/>
      <c r="AL214" s="140"/>
      <c r="AM214" s="140"/>
      <c r="AN214" s="140"/>
      <c r="AO214" s="140"/>
      <c r="AP214" s="140"/>
      <c r="AQ214" s="140"/>
      <c r="AR214" s="140"/>
      <c r="AS214" s="140"/>
      <c r="AT214" s="140"/>
      <c r="AU214" s="140"/>
      <c r="AV214" s="140"/>
      <c r="AW214" s="140"/>
      <c r="AX214" s="140"/>
      <c r="AY214" s="140"/>
      <c r="AZ214" s="140"/>
      <c r="BA214" s="140"/>
      <c r="BB214" s="140"/>
      <c r="BC214" s="140"/>
      <c r="BD214" s="140"/>
      <c r="BE214" s="140"/>
    </row>
    <row r="215" s="119" customFormat="1" ht="84" customHeight="1" outlineLevel="2" spans="1:57">
      <c r="A215" s="162">
        <f t="shared" si="57"/>
        <v>6</v>
      </c>
      <c r="B215" s="14" t="s">
        <v>61</v>
      </c>
      <c r="C215" s="15" t="s">
        <v>62</v>
      </c>
      <c r="D215" s="142" t="s">
        <v>63</v>
      </c>
      <c r="E215" s="143">
        <v>0.25</v>
      </c>
      <c r="F215" s="143">
        <f>$F$7</f>
        <v>130</v>
      </c>
      <c r="G215" s="143">
        <f>$G$7</f>
        <v>628.3</v>
      </c>
      <c r="H215" s="17">
        <f>$H$7</f>
        <v>47.7</v>
      </c>
      <c r="I215" s="17">
        <f t="shared" si="58"/>
        <v>80.6</v>
      </c>
      <c r="J215" s="18">
        <f t="shared" si="59"/>
        <v>886.6</v>
      </c>
      <c r="K215" s="19">
        <f t="shared" si="60"/>
        <v>221.65</v>
      </c>
      <c r="L215" s="135"/>
      <c r="M215" s="139">
        <v>1</v>
      </c>
      <c r="N215" s="139"/>
      <c r="O215" s="139"/>
      <c r="P215" s="37">
        <f t="shared" si="61"/>
        <v>806</v>
      </c>
      <c r="Q215" s="99">
        <f>$Q$7</f>
        <v>610</v>
      </c>
      <c r="R215" s="163">
        <f>$R$7</f>
        <v>0.03</v>
      </c>
      <c r="S215" s="99">
        <f>$S$7</f>
        <v>130</v>
      </c>
      <c r="T215" s="99">
        <f>$T$7</f>
        <v>46.2</v>
      </c>
      <c r="U215" s="99">
        <f>$U$7</f>
        <v>1.5</v>
      </c>
      <c r="V215" s="37">
        <f t="shared" si="62"/>
        <v>201.5</v>
      </c>
      <c r="W215" s="139"/>
      <c r="X215" s="139"/>
      <c r="Y215" s="139"/>
      <c r="Z215" s="139"/>
      <c r="AA215" s="139"/>
      <c r="AB215" s="139"/>
      <c r="AC215" s="139"/>
      <c r="AD215" s="139"/>
      <c r="AE215" s="139"/>
      <c r="AF215" s="140"/>
      <c r="AG215" s="140"/>
      <c r="AH215" s="140"/>
      <c r="AI215" s="140"/>
      <c r="AJ215" s="140"/>
      <c r="AK215" s="140"/>
      <c r="AL215" s="140"/>
      <c r="AM215" s="140"/>
      <c r="AN215" s="140"/>
      <c r="AO215" s="140"/>
      <c r="AP215" s="140"/>
      <c r="AQ215" s="140"/>
      <c r="AR215" s="140"/>
      <c r="AS215" s="140"/>
      <c r="AT215" s="140"/>
      <c r="AU215" s="140"/>
      <c r="AV215" s="140"/>
      <c r="AW215" s="140"/>
      <c r="AX215" s="140"/>
      <c r="AY215" s="140"/>
      <c r="AZ215" s="140"/>
      <c r="BA215" s="140"/>
      <c r="BB215" s="140"/>
      <c r="BC215" s="140"/>
      <c r="BD215" s="140"/>
      <c r="BE215" s="140"/>
    </row>
    <row r="216" s="119" customFormat="1" ht="48" customHeight="1" outlineLevel="2" spans="1:57">
      <c r="A216" s="162">
        <f t="shared" si="57"/>
        <v>7</v>
      </c>
      <c r="B216" s="14" t="s">
        <v>71</v>
      </c>
      <c r="C216" s="15" t="s">
        <v>72</v>
      </c>
      <c r="D216" s="142" t="s">
        <v>63</v>
      </c>
      <c r="E216" s="143">
        <v>0.25</v>
      </c>
      <c r="F216" s="143">
        <f>$F$11</f>
        <v>40</v>
      </c>
      <c r="G216" s="143">
        <f>$G$11</f>
        <v>15</v>
      </c>
      <c r="H216" s="143">
        <f>$H$11</f>
        <v>0.8</v>
      </c>
      <c r="I216" s="17">
        <f t="shared" si="58"/>
        <v>5.58</v>
      </c>
      <c r="J216" s="18">
        <f t="shared" si="59"/>
        <v>61.38</v>
      </c>
      <c r="K216" s="19">
        <f t="shared" si="60"/>
        <v>15.35</v>
      </c>
      <c r="L216" s="135"/>
      <c r="M216" s="139">
        <v>1</v>
      </c>
      <c r="N216" s="139"/>
      <c r="O216" s="139"/>
      <c r="P216" s="37">
        <f t="shared" si="61"/>
        <v>55.8</v>
      </c>
      <c r="Q216" s="99">
        <f>$Q$11</f>
        <v>15</v>
      </c>
      <c r="R216" s="163">
        <f>$R$11</f>
        <v>0</v>
      </c>
      <c r="S216" s="99">
        <f>$S$11</f>
        <v>40</v>
      </c>
      <c r="T216" s="99">
        <f>$T$11</f>
        <v>0.5</v>
      </c>
      <c r="U216" s="99">
        <f>$U$11</f>
        <v>0.3</v>
      </c>
      <c r="V216" s="37">
        <f t="shared" si="62"/>
        <v>13.95</v>
      </c>
      <c r="W216" s="139"/>
      <c r="X216" s="139"/>
      <c r="Y216" s="139"/>
      <c r="Z216" s="139"/>
      <c r="AA216" s="139"/>
      <c r="AB216" s="139"/>
      <c r="AC216" s="139"/>
      <c r="AD216" s="139"/>
      <c r="AE216" s="139"/>
      <c r="AF216" s="140"/>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c r="BB216" s="140"/>
      <c r="BC216" s="140"/>
      <c r="BD216" s="140"/>
      <c r="BE216" s="140"/>
    </row>
    <row r="217" s="119" customFormat="1" ht="24" customHeight="1" outlineLevel="1" spans="1:57">
      <c r="A217" s="141"/>
      <c r="B217" s="14" t="s">
        <v>73</v>
      </c>
      <c r="C217" s="15"/>
      <c r="D217" s="142"/>
      <c r="E217" s="143"/>
      <c r="F217" s="143"/>
      <c r="G217" s="143"/>
      <c r="H217" s="143"/>
      <c r="I217" s="143"/>
      <c r="J217" s="143"/>
      <c r="K217" s="144"/>
      <c r="L217" s="135"/>
      <c r="M217" s="139"/>
      <c r="N217" s="139"/>
      <c r="O217" s="139"/>
      <c r="P217" s="137"/>
      <c r="Q217" s="137"/>
      <c r="R217" s="138"/>
      <c r="S217" s="137"/>
      <c r="T217" s="137"/>
      <c r="U217" s="137"/>
      <c r="V217" s="137"/>
      <c r="W217" s="139"/>
      <c r="X217" s="139"/>
      <c r="Y217" s="139"/>
      <c r="Z217" s="139"/>
      <c r="AA217" s="139"/>
      <c r="AB217" s="139"/>
      <c r="AC217" s="139"/>
      <c r="AD217" s="139"/>
      <c r="AE217" s="139"/>
      <c r="AF217" s="140"/>
      <c r="AG217" s="140"/>
      <c r="AH217" s="140"/>
      <c r="AI217" s="140"/>
      <c r="AJ217" s="140"/>
      <c r="AK217" s="140"/>
      <c r="AL217" s="140"/>
      <c r="AM217" s="140"/>
      <c r="AN217" s="140"/>
      <c r="AO217" s="140"/>
      <c r="AP217" s="140"/>
      <c r="AQ217" s="140"/>
      <c r="AR217" s="140"/>
      <c r="AS217" s="140"/>
      <c r="AT217" s="140"/>
      <c r="AU217" s="140"/>
      <c r="AV217" s="140"/>
      <c r="AW217" s="140"/>
      <c r="AX217" s="140"/>
      <c r="AY217" s="140"/>
      <c r="AZ217" s="140"/>
      <c r="BA217" s="140"/>
      <c r="BB217" s="140"/>
      <c r="BC217" s="140"/>
      <c r="BD217" s="140"/>
      <c r="BE217" s="140"/>
    </row>
    <row r="218" s="119" customFormat="1" ht="60" customHeight="1" outlineLevel="2" spans="1:57">
      <c r="A218" s="145">
        <f>1+N(A217)</f>
        <v>1</v>
      </c>
      <c r="B218" s="158" t="s">
        <v>191</v>
      </c>
      <c r="C218" s="160" t="s">
        <v>192</v>
      </c>
      <c r="D218" s="159" t="s">
        <v>63</v>
      </c>
      <c r="E218" s="149">
        <v>18.324</v>
      </c>
      <c r="F218" s="149">
        <f>S218*$S$1</f>
        <v>45</v>
      </c>
      <c r="G218" s="149">
        <f>Q218*(1+R218)*$Q$1</f>
        <v>55</v>
      </c>
      <c r="H218" s="149">
        <f>(T218+U218)*$T$1</f>
        <v>17</v>
      </c>
      <c r="I218" s="150">
        <f>(F218+G218+H218)*$I$3</f>
        <v>11.7</v>
      </c>
      <c r="J218" s="151">
        <f>ROUND(SUM(F218:I218),2)</f>
        <v>128.7</v>
      </c>
      <c r="K218" s="152">
        <f>ROUND(J218*E218,2)</f>
        <v>2358.3</v>
      </c>
      <c r="L218" s="153"/>
      <c r="M218" s="139">
        <v>1</v>
      </c>
      <c r="N218" s="139"/>
      <c r="O218" s="139"/>
      <c r="P218" s="37">
        <f>Q218+Q218*R218+S218+T218+U218</f>
        <v>117</v>
      </c>
      <c r="Q218" s="71">
        <v>55</v>
      </c>
      <c r="R218" s="157">
        <v>0</v>
      </c>
      <c r="S218" s="71">
        <v>45</v>
      </c>
      <c r="T218" s="71">
        <v>16.5</v>
      </c>
      <c r="U218" s="71">
        <v>0.5</v>
      </c>
      <c r="V218" s="37">
        <f>P218*E218</f>
        <v>2143.908</v>
      </c>
      <c r="W218" s="139"/>
      <c r="X218" s="139"/>
      <c r="Y218" s="139"/>
      <c r="Z218" s="139"/>
      <c r="AA218" s="139"/>
      <c r="AB218" s="139"/>
      <c r="AC218" s="139"/>
      <c r="AD218" s="139"/>
      <c r="AE218" s="139"/>
      <c r="AF218" s="140"/>
      <c r="AG218" s="140"/>
      <c r="AH218" s="140"/>
      <c r="AI218" s="140"/>
      <c r="AJ218" s="140"/>
      <c r="AK218" s="140"/>
      <c r="AL218" s="140"/>
      <c r="AM218" s="140"/>
      <c r="AN218" s="140"/>
      <c r="AO218" s="140"/>
      <c r="AP218" s="140"/>
      <c r="AQ218" s="140"/>
      <c r="AR218" s="140"/>
      <c r="AS218" s="140"/>
      <c r="AT218" s="140"/>
      <c r="AU218" s="140"/>
      <c r="AV218" s="140"/>
      <c r="AW218" s="140"/>
      <c r="AX218" s="140"/>
      <c r="AY218" s="140"/>
      <c r="AZ218" s="140"/>
      <c r="BA218" s="140"/>
      <c r="BB218" s="140"/>
      <c r="BC218" s="140"/>
      <c r="BD218" s="140"/>
      <c r="BE218" s="140"/>
    </row>
    <row r="219" s="119" customFormat="1" ht="24" customHeight="1" outlineLevel="2" spans="1:57">
      <c r="A219" s="145">
        <f>1+N(A218)</f>
        <v>2</v>
      </c>
      <c r="B219" s="158" t="s">
        <v>193</v>
      </c>
      <c r="C219" s="160" t="s">
        <v>194</v>
      </c>
      <c r="D219" s="159" t="s">
        <v>63</v>
      </c>
      <c r="E219" s="149">
        <v>18.324</v>
      </c>
      <c r="F219" s="149">
        <f>S219*$S$1</f>
        <v>18</v>
      </c>
      <c r="G219" s="149">
        <f>Q219*(1+R219)*$Q$1</f>
        <v>22.725</v>
      </c>
      <c r="H219" s="149">
        <f>(T219+U219)*$T$1</f>
        <v>0.3</v>
      </c>
      <c r="I219" s="150">
        <f>(F219+G219+H219)*$I$3</f>
        <v>4.1025</v>
      </c>
      <c r="J219" s="151">
        <f>ROUND(SUM(F219:I219),2)</f>
        <v>45.13</v>
      </c>
      <c r="K219" s="152">
        <f>ROUND(J219*E219,2)</f>
        <v>826.96</v>
      </c>
      <c r="L219" s="153"/>
      <c r="M219" s="139">
        <v>1</v>
      </c>
      <c r="N219" s="139"/>
      <c r="O219" s="139"/>
      <c r="P219" s="37">
        <f>Q219+Q219*R219+S219+T219+U219</f>
        <v>41.025</v>
      </c>
      <c r="Q219" s="71">
        <v>22.5</v>
      </c>
      <c r="R219" s="157">
        <v>0.01</v>
      </c>
      <c r="S219" s="71">
        <v>18</v>
      </c>
      <c r="T219" s="71"/>
      <c r="U219" s="71">
        <v>0.3</v>
      </c>
      <c r="V219" s="37">
        <f>P219*E219</f>
        <v>751.7421</v>
      </c>
      <c r="W219" s="139"/>
      <c r="X219" s="139"/>
      <c r="Y219" s="139"/>
      <c r="Z219" s="139"/>
      <c r="AA219" s="139"/>
      <c r="AB219" s="139"/>
      <c r="AC219" s="139"/>
      <c r="AD219" s="139"/>
      <c r="AE219" s="139"/>
      <c r="AF219" s="140"/>
      <c r="AG219" s="140"/>
      <c r="AH219" s="140"/>
      <c r="AI219" s="140"/>
      <c r="AJ219" s="140"/>
      <c r="AK219" s="140"/>
      <c r="AL219" s="140"/>
      <c r="AM219" s="140"/>
      <c r="AN219" s="140"/>
      <c r="AO219" s="140"/>
      <c r="AP219" s="140"/>
      <c r="AQ219" s="140"/>
      <c r="AR219" s="140"/>
      <c r="AS219" s="140"/>
      <c r="AT219" s="140"/>
      <c r="AU219" s="140"/>
      <c r="AV219" s="140"/>
      <c r="AW219" s="140"/>
      <c r="AX219" s="140"/>
      <c r="AY219" s="140"/>
      <c r="AZ219" s="140"/>
      <c r="BA219" s="140"/>
      <c r="BB219" s="140"/>
      <c r="BC219" s="140"/>
      <c r="BD219" s="140"/>
      <c r="BE219" s="140"/>
    </row>
    <row r="220" s="119" customFormat="1" ht="24" customHeight="1" outlineLevel="1" spans="1:57">
      <c r="A220" s="141"/>
      <c r="B220" s="14" t="s">
        <v>101</v>
      </c>
      <c r="C220" s="15"/>
      <c r="D220" s="142"/>
      <c r="E220" s="143"/>
      <c r="F220" s="143"/>
      <c r="G220" s="143"/>
      <c r="H220" s="143"/>
      <c r="I220" s="143"/>
      <c r="J220" s="143"/>
      <c r="K220" s="144"/>
      <c r="L220" s="135"/>
      <c r="M220" s="139"/>
      <c r="N220" s="139"/>
      <c r="O220" s="139"/>
      <c r="P220" s="137"/>
      <c r="Q220" s="137"/>
      <c r="R220" s="138"/>
      <c r="S220" s="137"/>
      <c r="T220" s="137"/>
      <c r="U220" s="137"/>
      <c r="V220" s="137"/>
      <c r="W220" s="139"/>
      <c r="X220" s="139"/>
      <c r="Y220" s="139"/>
      <c r="Z220" s="139"/>
      <c r="AA220" s="139"/>
      <c r="AB220" s="139"/>
      <c r="AC220" s="139"/>
      <c r="AD220" s="139"/>
      <c r="AE220" s="139"/>
      <c r="AF220" s="140"/>
      <c r="AG220" s="140"/>
      <c r="AH220" s="140"/>
      <c r="AI220" s="140"/>
      <c r="AJ220" s="140"/>
      <c r="AK220" s="140"/>
      <c r="AL220" s="140"/>
      <c r="AM220" s="140"/>
      <c r="AN220" s="140"/>
      <c r="AO220" s="140"/>
      <c r="AP220" s="140"/>
      <c r="AQ220" s="140"/>
      <c r="AR220" s="140"/>
      <c r="AS220" s="140"/>
      <c r="AT220" s="140"/>
      <c r="AU220" s="140"/>
      <c r="AV220" s="140"/>
      <c r="AW220" s="140"/>
      <c r="AX220" s="140"/>
      <c r="AY220" s="140"/>
      <c r="AZ220" s="140"/>
      <c r="BA220" s="140"/>
      <c r="BB220" s="140"/>
      <c r="BC220" s="140"/>
      <c r="BD220" s="140"/>
      <c r="BE220" s="140"/>
    </row>
    <row r="221" s="119" customFormat="1" ht="96" customHeight="1" outlineLevel="2" spans="1:57">
      <c r="A221" s="162">
        <f>1+N(A220)</f>
        <v>1</v>
      </c>
      <c r="B221" s="14" t="s">
        <v>102</v>
      </c>
      <c r="C221" s="167" t="s">
        <v>103</v>
      </c>
      <c r="D221" s="142" t="s">
        <v>63</v>
      </c>
      <c r="E221" s="143">
        <v>3.12</v>
      </c>
      <c r="F221" s="143">
        <f>$F$28</f>
        <v>70</v>
      </c>
      <c r="G221" s="143">
        <f>$G$28</f>
        <v>0</v>
      </c>
      <c r="H221" s="143">
        <f>$H$28</f>
        <v>66.711</v>
      </c>
      <c r="I221" s="17">
        <f>(F221+G221+H221)*$I$3</f>
        <v>13.6711</v>
      </c>
      <c r="J221" s="18">
        <f>ROUND(SUM(F221:I221),2)</f>
        <v>150.38</v>
      </c>
      <c r="K221" s="19">
        <f>ROUND(J221*E221,2)</f>
        <v>469.19</v>
      </c>
      <c r="L221" s="135"/>
      <c r="M221" s="139">
        <v>1</v>
      </c>
      <c r="N221" s="139"/>
      <c r="O221" s="139"/>
      <c r="P221" s="37">
        <f>Q221+Q221*R221+S221+T221+U221</f>
        <v>136.711</v>
      </c>
      <c r="Q221" s="99">
        <f>$Q$28</f>
        <v>0</v>
      </c>
      <c r="R221" s="163">
        <f>$R$28</f>
        <v>0.01</v>
      </c>
      <c r="S221" s="99">
        <f>$S$28</f>
        <v>70</v>
      </c>
      <c r="T221" s="99">
        <f>$T$28</f>
        <v>64.711</v>
      </c>
      <c r="U221" s="99">
        <f>$U$28</f>
        <v>2</v>
      </c>
      <c r="V221" s="37">
        <f>P221*E221</f>
        <v>426.53832</v>
      </c>
      <c r="W221" s="139"/>
      <c r="X221" s="139"/>
      <c r="Y221" s="139"/>
      <c r="Z221" s="139"/>
      <c r="AA221" s="139"/>
      <c r="AB221" s="139"/>
      <c r="AC221" s="139"/>
      <c r="AD221" s="139"/>
      <c r="AE221" s="139"/>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140"/>
      <c r="BC221" s="140"/>
      <c r="BD221" s="140"/>
      <c r="BE221" s="140"/>
    </row>
    <row r="222" s="119" customFormat="1" ht="48" customHeight="1" outlineLevel="2" spans="1:57">
      <c r="A222" s="162">
        <f>1+N(A221)</f>
        <v>2</v>
      </c>
      <c r="B222" s="14" t="s">
        <v>104</v>
      </c>
      <c r="C222" s="167" t="s">
        <v>105</v>
      </c>
      <c r="D222" s="142" t="s">
        <v>70</v>
      </c>
      <c r="E222" s="143">
        <v>1.94</v>
      </c>
      <c r="F222" s="143">
        <f>$F$29</f>
        <v>50</v>
      </c>
      <c r="G222" s="143">
        <f>$G$29</f>
        <v>0</v>
      </c>
      <c r="H222" s="143">
        <f>$H$29</f>
        <v>22.0941</v>
      </c>
      <c r="I222" s="17">
        <f>(F222+G222+H222)*$I$3</f>
        <v>7.20941</v>
      </c>
      <c r="J222" s="18">
        <f>ROUND(SUM(F222:I222),2)</f>
        <v>79.3</v>
      </c>
      <c r="K222" s="19">
        <f>ROUND(J222*E222,2)</f>
        <v>153.84</v>
      </c>
      <c r="L222" s="135"/>
      <c r="M222" s="139">
        <v>1</v>
      </c>
      <c r="N222" s="139"/>
      <c r="O222" s="139"/>
      <c r="P222" s="37">
        <f>Q222+Q222*R222+S222+T222+U222</f>
        <v>72.0941</v>
      </c>
      <c r="Q222" s="99">
        <f>$Q$29</f>
        <v>0</v>
      </c>
      <c r="R222" s="163">
        <f>$R$29</f>
        <v>0.01</v>
      </c>
      <c r="S222" s="99">
        <f>$S$29</f>
        <v>50</v>
      </c>
      <c r="T222" s="99">
        <f>$T$29</f>
        <v>22.0941</v>
      </c>
      <c r="U222" s="99">
        <f>$U$29</f>
        <v>0</v>
      </c>
      <c r="V222" s="37">
        <f>P222*E222</f>
        <v>139.862554</v>
      </c>
      <c r="W222" s="139"/>
      <c r="X222" s="139"/>
      <c r="Y222" s="139"/>
      <c r="Z222" s="139"/>
      <c r="AA222" s="139"/>
      <c r="AB222" s="139"/>
      <c r="AC222" s="139"/>
      <c r="AD222" s="139"/>
      <c r="AE222" s="139"/>
      <c r="AF222" s="140"/>
      <c r="AG222" s="140"/>
      <c r="AH222" s="140"/>
      <c r="AI222" s="140"/>
      <c r="AJ222" s="140"/>
      <c r="AK222" s="140"/>
      <c r="AL222" s="140"/>
      <c r="AM222" s="140"/>
      <c r="AN222" s="140"/>
      <c r="AO222" s="140"/>
      <c r="AP222" s="140"/>
      <c r="AQ222" s="140"/>
      <c r="AR222" s="140"/>
      <c r="AS222" s="140"/>
      <c r="AT222" s="140"/>
      <c r="AU222" s="140"/>
      <c r="AV222" s="140"/>
      <c r="AW222" s="140"/>
      <c r="AX222" s="140"/>
      <c r="AY222" s="140"/>
      <c r="AZ222" s="140"/>
      <c r="BA222" s="140"/>
      <c r="BB222" s="140"/>
      <c r="BC222" s="140"/>
      <c r="BD222" s="140"/>
      <c r="BE222" s="140"/>
    </row>
    <row r="223" s="119" customFormat="1" ht="72" customHeight="1" outlineLevel="2" spans="1:57">
      <c r="A223" s="145">
        <f>1+N(A222)</f>
        <v>3</v>
      </c>
      <c r="B223" s="146" t="s">
        <v>195</v>
      </c>
      <c r="C223" s="161" t="s">
        <v>196</v>
      </c>
      <c r="D223" s="148" t="s">
        <v>63</v>
      </c>
      <c r="E223" s="149">
        <f>3.12+1.94*0.3</f>
        <v>3.702</v>
      </c>
      <c r="F223" s="149">
        <f>S223*$S$1</f>
        <v>45</v>
      </c>
      <c r="G223" s="149">
        <f>Q223*(1+R223)*$Q$1</f>
        <v>85.5</v>
      </c>
      <c r="H223" s="149">
        <f>(T223+U223)*$T$1</f>
        <v>7.3</v>
      </c>
      <c r="I223" s="150">
        <f>(F223+G223+H223)*$I$3</f>
        <v>13.78</v>
      </c>
      <c r="J223" s="151">
        <f>ROUND(SUM(F223:I223),2)</f>
        <v>151.58</v>
      </c>
      <c r="K223" s="152">
        <f>ROUND(J223*E223,2)</f>
        <v>561.15</v>
      </c>
      <c r="L223" s="153"/>
      <c r="M223" s="139">
        <v>1</v>
      </c>
      <c r="N223" s="139"/>
      <c r="O223" s="139"/>
      <c r="P223" s="37">
        <f>Q223+Q223*R223+S223+T223+U223</f>
        <v>137.8</v>
      </c>
      <c r="Q223" s="71">
        <v>85.5</v>
      </c>
      <c r="R223" s="157">
        <v>0</v>
      </c>
      <c r="S223" s="71">
        <v>45</v>
      </c>
      <c r="T223" s="71">
        <v>6.5</v>
      </c>
      <c r="U223" s="71">
        <v>0.8</v>
      </c>
      <c r="V223" s="37">
        <f>P223*E223</f>
        <v>510.1356</v>
      </c>
      <c r="W223" s="139"/>
      <c r="X223" s="139"/>
      <c r="Y223" s="139"/>
      <c r="Z223" s="139"/>
      <c r="AA223" s="139"/>
      <c r="AB223" s="139"/>
      <c r="AC223" s="139"/>
      <c r="AD223" s="139"/>
      <c r="AE223" s="139"/>
      <c r="AF223" s="140"/>
      <c r="AG223" s="140"/>
      <c r="AH223" s="140"/>
      <c r="AI223" s="140"/>
      <c r="AJ223" s="140"/>
      <c r="AK223" s="140"/>
      <c r="AL223" s="140"/>
      <c r="AM223" s="140"/>
      <c r="AN223" s="140"/>
      <c r="AO223" s="140"/>
      <c r="AP223" s="140"/>
      <c r="AQ223" s="140"/>
      <c r="AR223" s="140"/>
      <c r="AS223" s="140"/>
      <c r="AT223" s="140"/>
      <c r="AU223" s="140"/>
      <c r="AV223" s="140"/>
      <c r="AW223" s="140"/>
      <c r="AX223" s="140"/>
      <c r="AY223" s="140"/>
      <c r="AZ223" s="140"/>
      <c r="BA223" s="140"/>
      <c r="BB223" s="140"/>
      <c r="BC223" s="140"/>
      <c r="BD223" s="140"/>
      <c r="BE223" s="140"/>
    </row>
    <row r="224" s="119" customFormat="1" ht="24" customHeight="1" outlineLevel="1" spans="1:57">
      <c r="A224" s="141"/>
      <c r="B224" s="14" t="s">
        <v>112</v>
      </c>
      <c r="C224" s="15"/>
      <c r="D224" s="142"/>
      <c r="E224" s="143"/>
      <c r="F224" s="143"/>
      <c r="G224" s="143"/>
      <c r="H224" s="143"/>
      <c r="I224" s="143"/>
      <c r="J224" s="143"/>
      <c r="K224" s="144"/>
      <c r="L224" s="135"/>
      <c r="M224" s="139"/>
      <c r="N224" s="139"/>
      <c r="O224" s="139"/>
      <c r="P224" s="137"/>
      <c r="Q224" s="137"/>
      <c r="R224" s="138"/>
      <c r="S224" s="137"/>
      <c r="T224" s="137"/>
      <c r="U224" s="137"/>
      <c r="V224" s="137"/>
      <c r="W224" s="139"/>
      <c r="X224" s="139"/>
      <c r="Y224" s="139"/>
      <c r="Z224" s="139"/>
      <c r="AA224" s="139"/>
      <c r="AB224" s="139"/>
      <c r="AC224" s="139"/>
      <c r="AD224" s="139"/>
      <c r="AE224" s="139"/>
      <c r="AF224" s="140"/>
      <c r="AG224" s="140"/>
      <c r="AH224" s="140"/>
      <c r="AI224" s="140"/>
      <c r="AJ224" s="140"/>
      <c r="AK224" s="140"/>
      <c r="AL224" s="140"/>
      <c r="AM224" s="140"/>
      <c r="AN224" s="140"/>
      <c r="AO224" s="140"/>
      <c r="AP224" s="140"/>
      <c r="AQ224" s="140"/>
      <c r="AR224" s="140"/>
      <c r="AS224" s="140"/>
      <c r="AT224" s="140"/>
      <c r="AU224" s="140"/>
      <c r="AV224" s="140"/>
      <c r="AW224" s="140"/>
      <c r="AX224" s="140"/>
      <c r="AY224" s="140"/>
      <c r="AZ224" s="140"/>
      <c r="BA224" s="140"/>
      <c r="BB224" s="140"/>
      <c r="BC224" s="140"/>
      <c r="BD224" s="140"/>
      <c r="BE224" s="140"/>
    </row>
    <row r="225" s="119" customFormat="1" ht="24" customHeight="1" outlineLevel="1" spans="1:57">
      <c r="A225" s="132" t="s">
        <v>139</v>
      </c>
      <c r="B225" s="8" t="s">
        <v>197</v>
      </c>
      <c r="C225" s="8"/>
      <c r="D225" s="133"/>
      <c r="E225" s="134"/>
      <c r="F225" s="134"/>
      <c r="G225" s="134"/>
      <c r="H225" s="134"/>
      <c r="I225" s="134"/>
      <c r="J225" s="134"/>
      <c r="K225" s="11"/>
      <c r="L225" s="135"/>
      <c r="M225" s="139"/>
      <c r="N225" s="139"/>
      <c r="O225" s="170" t="str">
        <f>_xlfn.DISPIMG("ID_3A7A0C2DE56844B4974F8A1A9668BB74",1)</f>
        <v>=DISPIMG("ID_3A7A0C2DE56844B4974F8A1A9668BB74",1)</v>
      </c>
      <c r="P225" s="137"/>
      <c r="Q225" s="137"/>
      <c r="R225" s="138"/>
      <c r="S225" s="137"/>
      <c r="T225" s="137"/>
      <c r="U225" s="137"/>
      <c r="V225" s="137"/>
      <c r="W225" s="139"/>
      <c r="X225" s="139"/>
      <c r="Y225" s="139"/>
      <c r="Z225" s="139"/>
      <c r="AA225" s="139"/>
      <c r="AB225" s="139"/>
      <c r="AC225" s="139"/>
      <c r="AD225" s="139"/>
      <c r="AE225" s="139"/>
      <c r="AF225" s="140"/>
      <c r="AG225" s="140"/>
      <c r="AH225" s="140"/>
      <c r="AI225" s="140"/>
      <c r="AJ225" s="140"/>
      <c r="AK225" s="140"/>
      <c r="AL225" s="140"/>
      <c r="AM225" s="140"/>
      <c r="AN225" s="140"/>
      <c r="AO225" s="140"/>
      <c r="AP225" s="140"/>
      <c r="AQ225" s="140"/>
      <c r="AR225" s="140"/>
      <c r="AS225" s="140"/>
      <c r="AT225" s="140"/>
      <c r="AU225" s="140"/>
      <c r="AV225" s="140"/>
      <c r="AW225" s="140"/>
      <c r="AX225" s="140"/>
      <c r="AY225" s="140"/>
      <c r="AZ225" s="140"/>
      <c r="BA225" s="140"/>
      <c r="BB225" s="140"/>
      <c r="BC225" s="140"/>
      <c r="BD225" s="140"/>
      <c r="BE225" s="140"/>
    </row>
    <row r="226" s="119" customFormat="1" ht="24" customHeight="1" outlineLevel="1" spans="1:57">
      <c r="A226" s="141"/>
      <c r="B226" s="14" t="s">
        <v>60</v>
      </c>
      <c r="C226" s="15"/>
      <c r="D226" s="142"/>
      <c r="E226" s="143"/>
      <c r="F226" s="143"/>
      <c r="G226" s="143"/>
      <c r="H226" s="143"/>
      <c r="I226" s="143"/>
      <c r="J226" s="143"/>
      <c r="K226" s="144"/>
      <c r="L226" s="135"/>
      <c r="M226" s="139"/>
      <c r="N226" s="139"/>
      <c r="O226" s="139"/>
      <c r="P226" s="137"/>
      <c r="Q226" s="137"/>
      <c r="R226" s="138"/>
      <c r="S226" s="137"/>
      <c r="T226" s="137"/>
      <c r="U226" s="137"/>
      <c r="V226" s="137"/>
      <c r="W226" s="139"/>
      <c r="X226" s="139"/>
      <c r="Y226" s="139"/>
      <c r="Z226" s="139"/>
      <c r="AA226" s="139"/>
      <c r="AB226" s="139"/>
      <c r="AC226" s="139"/>
      <c r="AD226" s="139"/>
      <c r="AE226" s="139"/>
      <c r="AF226" s="140"/>
      <c r="AG226" s="140"/>
      <c r="AH226" s="140"/>
      <c r="AI226" s="140"/>
      <c r="AJ226" s="140"/>
      <c r="AK226" s="140"/>
      <c r="AL226" s="140"/>
      <c r="AM226" s="140"/>
      <c r="AN226" s="140"/>
      <c r="AO226" s="140"/>
      <c r="AP226" s="140"/>
      <c r="AQ226" s="140"/>
      <c r="AR226" s="140"/>
      <c r="AS226" s="140"/>
      <c r="AT226" s="140"/>
      <c r="AU226" s="140"/>
      <c r="AV226" s="140"/>
      <c r="AW226" s="140"/>
      <c r="AX226" s="140"/>
      <c r="AY226" s="140"/>
      <c r="AZ226" s="140"/>
      <c r="BA226" s="140"/>
      <c r="BB226" s="140"/>
      <c r="BC226" s="140"/>
      <c r="BD226" s="140"/>
      <c r="BE226" s="140"/>
    </row>
    <row r="227" s="119" customFormat="1" ht="60" customHeight="1" outlineLevel="2" spans="1:57">
      <c r="A227" s="145">
        <f>1+N(A226)</f>
        <v>1</v>
      </c>
      <c r="B227" s="146" t="s">
        <v>168</v>
      </c>
      <c r="C227" s="147" t="s">
        <v>198</v>
      </c>
      <c r="D227" s="148" t="s">
        <v>63</v>
      </c>
      <c r="E227" s="149">
        <v>4.83</v>
      </c>
      <c r="F227" s="149">
        <f>S227*$S$1</f>
        <v>28</v>
      </c>
      <c r="G227" s="149">
        <f>Q227*(1+R227)*$Q$1</f>
        <v>0</v>
      </c>
      <c r="H227" s="149">
        <f>(T227+U227)*$T$1</f>
        <v>31.8</v>
      </c>
      <c r="I227" s="150">
        <f>(F227+G227+H227)*$I$3</f>
        <v>5.98</v>
      </c>
      <c r="J227" s="151">
        <f>ROUND(SUM(F227:I227),2)</f>
        <v>65.78</v>
      </c>
      <c r="K227" s="152">
        <f>ROUND(J227*E227,2)</f>
        <v>317.72</v>
      </c>
      <c r="L227" s="153"/>
      <c r="M227" s="139">
        <v>1</v>
      </c>
      <c r="N227" s="139"/>
      <c r="O227" s="139"/>
      <c r="P227" s="37">
        <f>Q227+Q227*R227+S227+T227+U227</f>
        <v>59.8</v>
      </c>
      <c r="Q227" s="71"/>
      <c r="R227" s="157">
        <v>0</v>
      </c>
      <c r="S227" s="71">
        <v>28</v>
      </c>
      <c r="T227" s="71">
        <v>31.5</v>
      </c>
      <c r="U227" s="71">
        <v>0.3</v>
      </c>
      <c r="V227" s="37">
        <f>P227*E227</f>
        <v>288.834</v>
      </c>
      <c r="W227" s="139"/>
      <c r="X227" s="139"/>
      <c r="Y227" s="139"/>
      <c r="Z227" s="139"/>
      <c r="AA227" s="139"/>
      <c r="AB227" s="139"/>
      <c r="AC227" s="139"/>
      <c r="AD227" s="139"/>
      <c r="AE227" s="139"/>
      <c r="AF227" s="140"/>
      <c r="AG227" s="140"/>
      <c r="AH227" s="140"/>
      <c r="AI227" s="140"/>
      <c r="AJ227" s="140"/>
      <c r="AK227" s="140"/>
      <c r="AL227" s="140"/>
      <c r="AM227" s="140"/>
      <c r="AN227" s="140"/>
      <c r="AO227" s="140"/>
      <c r="AP227" s="140"/>
      <c r="AQ227" s="140"/>
      <c r="AR227" s="140"/>
      <c r="AS227" s="140"/>
      <c r="AT227" s="140"/>
      <c r="AU227" s="140"/>
      <c r="AV227" s="140"/>
      <c r="AW227" s="140"/>
      <c r="AX227" s="140"/>
      <c r="AY227" s="140"/>
      <c r="AZ227" s="140"/>
      <c r="BA227" s="140"/>
      <c r="BB227" s="140"/>
      <c r="BC227" s="140"/>
      <c r="BD227" s="140"/>
      <c r="BE227" s="140"/>
    </row>
    <row r="228" s="119" customFormat="1" ht="108" customHeight="1" outlineLevel="2" spans="1:57">
      <c r="A228" s="145">
        <f>1+N(A227)</f>
        <v>2</v>
      </c>
      <c r="B228" s="146" t="s">
        <v>199</v>
      </c>
      <c r="C228" s="147" t="s">
        <v>200</v>
      </c>
      <c r="D228" s="148" t="s">
        <v>63</v>
      </c>
      <c r="E228" s="149">
        <v>68.6</v>
      </c>
      <c r="F228" s="149">
        <f>S228*$S$1</f>
        <v>80</v>
      </c>
      <c r="G228" s="149">
        <f>Q228*(1+R228)*$Q$1</f>
        <v>267.8</v>
      </c>
      <c r="H228" s="149">
        <f>(T228+U228)*$T$1</f>
        <v>46.4</v>
      </c>
      <c r="I228" s="150">
        <f>(F228+G228+H228)*$I$3</f>
        <v>39.42</v>
      </c>
      <c r="J228" s="151">
        <f>ROUND(SUM(F228:I228),2)</f>
        <v>433.62</v>
      </c>
      <c r="K228" s="152">
        <f>ROUND(J228*E228,2)</f>
        <v>29746.33</v>
      </c>
      <c r="L228" s="153"/>
      <c r="M228" s="139">
        <v>1</v>
      </c>
      <c r="N228" s="139"/>
      <c r="O228" s="139"/>
      <c r="P228" s="37">
        <f>Q228+Q228*R228+S228+T228+U228</f>
        <v>394.2</v>
      </c>
      <c r="Q228" s="71">
        <v>260</v>
      </c>
      <c r="R228" s="157">
        <v>0.03</v>
      </c>
      <c r="S228" s="71">
        <v>80</v>
      </c>
      <c r="T228" s="71">
        <v>45.9</v>
      </c>
      <c r="U228" s="71">
        <v>0.5</v>
      </c>
      <c r="V228" s="37">
        <f>P228*E228</f>
        <v>27042.12</v>
      </c>
      <c r="W228" s="139"/>
      <c r="X228" s="139"/>
      <c r="Y228" s="139"/>
      <c r="Z228" s="139"/>
      <c r="AA228" s="139"/>
      <c r="AB228" s="139"/>
      <c r="AC228" s="139"/>
      <c r="AD228" s="139"/>
      <c r="AE228" s="139"/>
      <c r="AF228" s="140"/>
      <c r="AG228" s="140"/>
      <c r="AH228" s="140"/>
      <c r="AI228" s="140"/>
      <c r="AJ228" s="140"/>
      <c r="AK228" s="140"/>
      <c r="AL228" s="140"/>
      <c r="AM228" s="140"/>
      <c r="AN228" s="140"/>
      <c r="AO228" s="140"/>
      <c r="AP228" s="140"/>
      <c r="AQ228" s="140"/>
      <c r="AR228" s="140"/>
      <c r="AS228" s="140"/>
      <c r="AT228" s="140"/>
      <c r="AU228" s="140"/>
      <c r="AV228" s="140"/>
      <c r="AW228" s="140"/>
      <c r="AX228" s="140"/>
      <c r="AY228" s="140"/>
      <c r="AZ228" s="140"/>
      <c r="BA228" s="140"/>
      <c r="BB228" s="140"/>
      <c r="BC228" s="140"/>
      <c r="BD228" s="140"/>
      <c r="BE228" s="140"/>
    </row>
    <row r="229" s="119" customFormat="1" ht="72" customHeight="1" outlineLevel="2" spans="1:57">
      <c r="A229" s="145">
        <f>1+N(A228)</f>
        <v>3</v>
      </c>
      <c r="B229" s="146" t="s">
        <v>201</v>
      </c>
      <c r="C229" s="147" t="s">
        <v>202</v>
      </c>
      <c r="D229" s="148" t="s">
        <v>63</v>
      </c>
      <c r="E229" s="149">
        <v>5.13</v>
      </c>
      <c r="F229" s="149">
        <f>S229*$S$1</f>
        <v>45.5</v>
      </c>
      <c r="G229" s="149">
        <f>Q229*(1+R229)*$Q$1</f>
        <v>273</v>
      </c>
      <c r="H229" s="149">
        <f>(T229+U229)*$T$1</f>
        <v>18.2</v>
      </c>
      <c r="I229" s="150">
        <f>(F229+G229+H229)*$I$3</f>
        <v>33.67</v>
      </c>
      <c r="J229" s="151">
        <f>ROUND(SUM(F229:I229),2)</f>
        <v>370.37</v>
      </c>
      <c r="K229" s="152">
        <f>ROUND(J229*E229,2)</f>
        <v>1900</v>
      </c>
      <c r="L229" s="153"/>
      <c r="M229" s="139">
        <v>1</v>
      </c>
      <c r="N229" s="139"/>
      <c r="O229" s="139"/>
      <c r="P229" s="37">
        <f>Q229+Q229*R229+S229+T229+U229</f>
        <v>336.7</v>
      </c>
      <c r="Q229" s="71">
        <v>260</v>
      </c>
      <c r="R229" s="157">
        <v>0.05</v>
      </c>
      <c r="S229" s="71">
        <v>45.5</v>
      </c>
      <c r="T229" s="71">
        <v>18</v>
      </c>
      <c r="U229" s="71">
        <v>0.2</v>
      </c>
      <c r="V229" s="37">
        <f>P229*E229</f>
        <v>1727.271</v>
      </c>
      <c r="W229" s="139"/>
      <c r="X229" s="139"/>
      <c r="Y229" s="139"/>
      <c r="Z229" s="139"/>
      <c r="AA229" s="139"/>
      <c r="AB229" s="139"/>
      <c r="AC229" s="139"/>
      <c r="AD229" s="139"/>
      <c r="AE229" s="139"/>
      <c r="AF229" s="140"/>
      <c r="AG229" s="140"/>
      <c r="AH229" s="140"/>
      <c r="AI229" s="140"/>
      <c r="AJ229" s="140"/>
      <c r="AK229" s="140"/>
      <c r="AL229" s="140"/>
      <c r="AM229" s="140"/>
      <c r="AN229" s="140"/>
      <c r="AO229" s="140"/>
      <c r="AP229" s="140"/>
      <c r="AQ229" s="140"/>
      <c r="AR229" s="140"/>
      <c r="AS229" s="140"/>
      <c r="AT229" s="140"/>
      <c r="AU229" s="140"/>
      <c r="AV229" s="140"/>
      <c r="AW229" s="140"/>
      <c r="AX229" s="140"/>
      <c r="AY229" s="140"/>
      <c r="AZ229" s="140"/>
      <c r="BA229" s="140"/>
      <c r="BB229" s="140"/>
      <c r="BC229" s="140"/>
      <c r="BD229" s="140"/>
      <c r="BE229" s="140"/>
    </row>
    <row r="230" s="119" customFormat="1" ht="36" customHeight="1" outlineLevel="2" spans="1:57">
      <c r="A230" s="162">
        <f>1+N(A229)</f>
        <v>4</v>
      </c>
      <c r="B230" s="14" t="s">
        <v>68</v>
      </c>
      <c r="C230" s="15" t="s">
        <v>69</v>
      </c>
      <c r="D230" s="142" t="s">
        <v>70</v>
      </c>
      <c r="E230" s="143">
        <v>12.6</v>
      </c>
      <c r="F230" s="143">
        <f>$F$10</f>
        <v>12</v>
      </c>
      <c r="G230" s="143">
        <f>$G$10</f>
        <v>19.57</v>
      </c>
      <c r="H230" s="143">
        <f>$H$10</f>
        <v>0.5</v>
      </c>
      <c r="I230" s="17">
        <f>(F230+G230+H230)*$I$3</f>
        <v>3.207</v>
      </c>
      <c r="J230" s="18">
        <f>ROUND(SUM(F230:I230),2)</f>
        <v>35.28</v>
      </c>
      <c r="K230" s="19">
        <f>ROUND(J230*E230,2)</f>
        <v>444.53</v>
      </c>
      <c r="L230" s="135"/>
      <c r="M230" s="139">
        <v>1</v>
      </c>
      <c r="N230" s="139"/>
      <c r="O230" s="139"/>
      <c r="P230" s="37">
        <f>Q230+Q230*R230+S230+T230+U230</f>
        <v>32.07</v>
      </c>
      <c r="Q230" s="99">
        <f>$Q$10</f>
        <v>19</v>
      </c>
      <c r="R230" s="163">
        <f>$R$10</f>
        <v>0.03</v>
      </c>
      <c r="S230" s="99">
        <f>$S$10</f>
        <v>12</v>
      </c>
      <c r="T230" s="99">
        <f>$T$10</f>
        <v>0.3</v>
      </c>
      <c r="U230" s="99">
        <f>$U$10</f>
        <v>0.2</v>
      </c>
      <c r="V230" s="37">
        <f>P230*E230</f>
        <v>404.082</v>
      </c>
      <c r="W230" s="139"/>
      <c r="X230" s="139"/>
      <c r="Y230" s="139"/>
      <c r="Z230" s="139"/>
      <c r="AA230" s="139"/>
      <c r="AB230" s="139"/>
      <c r="AC230" s="139"/>
      <c r="AD230" s="139"/>
      <c r="AE230" s="139"/>
      <c r="AF230" s="140"/>
      <c r="AG230" s="140"/>
      <c r="AH230" s="140"/>
      <c r="AI230" s="140"/>
      <c r="AJ230" s="140"/>
      <c r="AK230" s="140"/>
      <c r="AL230" s="140"/>
      <c r="AM230" s="140"/>
      <c r="AN230" s="140"/>
      <c r="AO230" s="140"/>
      <c r="AP230" s="140"/>
      <c r="AQ230" s="140"/>
      <c r="AR230" s="140"/>
      <c r="AS230" s="140"/>
      <c r="AT230" s="140"/>
      <c r="AU230" s="140"/>
      <c r="AV230" s="140"/>
      <c r="AW230" s="140"/>
      <c r="AX230" s="140"/>
      <c r="AY230" s="140"/>
      <c r="AZ230" s="140"/>
      <c r="BA230" s="140"/>
      <c r="BB230" s="140"/>
      <c r="BC230" s="140"/>
      <c r="BD230" s="140"/>
      <c r="BE230" s="140"/>
    </row>
    <row r="231" s="119" customFormat="1" ht="24" customHeight="1" outlineLevel="1" spans="1:57">
      <c r="A231" s="141"/>
      <c r="B231" s="14" t="s">
        <v>73</v>
      </c>
      <c r="C231" s="15"/>
      <c r="D231" s="142"/>
      <c r="E231" s="143"/>
      <c r="F231" s="143"/>
      <c r="G231" s="143"/>
      <c r="H231" s="143"/>
      <c r="I231" s="143"/>
      <c r="J231" s="143"/>
      <c r="K231" s="144"/>
      <c r="L231" s="135"/>
      <c r="M231" s="139"/>
      <c r="N231" s="139"/>
      <c r="O231" s="139"/>
      <c r="P231" s="137"/>
      <c r="Q231" s="137"/>
      <c r="R231" s="138"/>
      <c r="S231" s="137"/>
      <c r="T231" s="137"/>
      <c r="U231" s="137"/>
      <c r="V231" s="137"/>
      <c r="W231" s="139"/>
      <c r="X231" s="139"/>
      <c r="Y231" s="139"/>
      <c r="Z231" s="139"/>
      <c r="AA231" s="139"/>
      <c r="AB231" s="139"/>
      <c r="AC231" s="139"/>
      <c r="AD231" s="139"/>
      <c r="AE231" s="139"/>
      <c r="AF231" s="140"/>
      <c r="AG231" s="140"/>
      <c r="AH231" s="140"/>
      <c r="AI231" s="140"/>
      <c r="AJ231" s="140"/>
      <c r="AK231" s="140"/>
      <c r="AL231" s="140"/>
      <c r="AM231" s="140"/>
      <c r="AN231" s="140"/>
      <c r="AO231" s="140"/>
      <c r="AP231" s="140"/>
      <c r="AQ231" s="140"/>
      <c r="AR231" s="140"/>
      <c r="AS231" s="140"/>
      <c r="AT231" s="140"/>
      <c r="AU231" s="140"/>
      <c r="AV231" s="140"/>
      <c r="AW231" s="140"/>
      <c r="AX231" s="140"/>
      <c r="AY231" s="140"/>
      <c r="AZ231" s="140"/>
      <c r="BA231" s="140"/>
      <c r="BB231" s="140"/>
      <c r="BC231" s="140"/>
      <c r="BD231" s="140"/>
      <c r="BE231" s="140"/>
    </row>
    <row r="232" s="119" customFormat="1" ht="72" customHeight="1" outlineLevel="2" spans="1:57">
      <c r="A232" s="162">
        <f>1+N(A231)</f>
        <v>1</v>
      </c>
      <c r="B232" s="164" t="s">
        <v>172</v>
      </c>
      <c r="C232" s="15" t="s">
        <v>173</v>
      </c>
      <c r="D232" s="142" t="s">
        <v>63</v>
      </c>
      <c r="E232" s="143">
        <v>15.392</v>
      </c>
      <c r="F232" s="143">
        <f>$F$179</f>
        <v>110</v>
      </c>
      <c r="G232" s="143">
        <f>$G$179</f>
        <v>85.5</v>
      </c>
      <c r="H232" s="143">
        <f>$H$179</f>
        <v>56.797</v>
      </c>
      <c r="I232" s="17">
        <f>(F232+G232+H232)*$I$3</f>
        <v>25.2297</v>
      </c>
      <c r="J232" s="18">
        <f>ROUND(SUM(F232:I232),2)</f>
        <v>277.53</v>
      </c>
      <c r="K232" s="19">
        <f>ROUND(J232*E232,2)</f>
        <v>4271.74</v>
      </c>
      <c r="L232" s="135"/>
      <c r="M232" s="139">
        <v>1</v>
      </c>
      <c r="N232" s="139"/>
      <c r="O232" s="139"/>
      <c r="P232" s="37">
        <f>Q232+Q232*R232+S232+T232+U232</f>
        <v>252.297</v>
      </c>
      <c r="Q232" s="99">
        <f>$Q$179</f>
        <v>85.5</v>
      </c>
      <c r="R232" s="163">
        <f>$R$179</f>
        <v>0</v>
      </c>
      <c r="S232" s="99">
        <f>$S$179</f>
        <v>110</v>
      </c>
      <c r="T232" s="99">
        <f>$T$179</f>
        <v>55.997</v>
      </c>
      <c r="U232" s="99">
        <f>$U$179</f>
        <v>0.8</v>
      </c>
      <c r="V232" s="37">
        <f>P232*E232</f>
        <v>3883.355424</v>
      </c>
      <c r="W232" s="139"/>
      <c r="X232" s="139"/>
      <c r="Y232" s="139"/>
      <c r="Z232" s="139"/>
      <c r="AA232" s="139"/>
      <c r="AB232" s="139"/>
      <c r="AC232" s="139"/>
      <c r="AD232" s="139"/>
      <c r="AE232" s="139"/>
      <c r="AF232" s="140"/>
      <c r="AG232" s="140"/>
      <c r="AH232" s="140"/>
      <c r="AI232" s="140"/>
      <c r="AJ232" s="140"/>
      <c r="AK232" s="140"/>
      <c r="AL232" s="140"/>
      <c r="AM232" s="140"/>
      <c r="AN232" s="140"/>
      <c r="AO232" s="140"/>
      <c r="AP232" s="140"/>
      <c r="AQ232" s="140"/>
      <c r="AR232" s="140"/>
      <c r="AS232" s="140"/>
      <c r="AT232" s="140"/>
      <c r="AU232" s="140"/>
      <c r="AV232" s="140"/>
      <c r="AW232" s="140"/>
      <c r="AX232" s="140"/>
      <c r="AY232" s="140"/>
      <c r="AZ232" s="140"/>
      <c r="BA232" s="140"/>
      <c r="BB232" s="140"/>
      <c r="BC232" s="140"/>
      <c r="BD232" s="140"/>
      <c r="BE232" s="140"/>
    </row>
    <row r="233" s="119" customFormat="1" ht="72" customHeight="1" outlineLevel="2" spans="1:57">
      <c r="A233" s="145">
        <f>1+N(A232)</f>
        <v>2</v>
      </c>
      <c r="B233" s="158" t="s">
        <v>203</v>
      </c>
      <c r="C233" s="147" t="s">
        <v>204</v>
      </c>
      <c r="D233" s="148" t="s">
        <v>63</v>
      </c>
      <c r="E233" s="149">
        <v>104.178</v>
      </c>
      <c r="F233" s="149">
        <f>S233*$S$1</f>
        <v>110</v>
      </c>
      <c r="G233" s="149">
        <f>Q233*(1+R233)*$Q$1</f>
        <v>85.5</v>
      </c>
      <c r="H233" s="149">
        <f>(T233+U233)*$T$1</f>
        <v>56.797</v>
      </c>
      <c r="I233" s="150">
        <f>(F233+G233+H233)*$I$3</f>
        <v>25.2297</v>
      </c>
      <c r="J233" s="151">
        <f>ROUND(SUM(F233:I233),2)</f>
        <v>277.53</v>
      </c>
      <c r="K233" s="152">
        <f>ROUND(J233*E233,2)</f>
        <v>28912.52</v>
      </c>
      <c r="L233" s="153"/>
      <c r="M233" s="139">
        <v>1</v>
      </c>
      <c r="N233" s="139"/>
      <c r="O233" s="139"/>
      <c r="P233" s="37">
        <f>Q233+Q233*R233+S233+T233+U233</f>
        <v>252.297</v>
      </c>
      <c r="Q233" s="71">
        <v>85.5</v>
      </c>
      <c r="R233" s="157">
        <v>0</v>
      </c>
      <c r="S233" s="71">
        <v>110</v>
      </c>
      <c r="T233" s="71">
        <v>55.997</v>
      </c>
      <c r="U233" s="71">
        <v>0.8</v>
      </c>
      <c r="V233" s="37">
        <f>P233*E233</f>
        <v>26283.796866</v>
      </c>
      <c r="W233" s="139"/>
      <c r="X233" s="139"/>
      <c r="Y233" s="139"/>
      <c r="Z233" s="139"/>
      <c r="AA233" s="139"/>
      <c r="AB233" s="139"/>
      <c r="AC233" s="139"/>
      <c r="AD233" s="139"/>
      <c r="AE233" s="139"/>
      <c r="AF233" s="140"/>
      <c r="AG233" s="140"/>
      <c r="AH233" s="140"/>
      <c r="AI233" s="140"/>
      <c r="AJ233" s="140"/>
      <c r="AK233" s="140"/>
      <c r="AL233" s="140"/>
      <c r="AM233" s="140"/>
      <c r="AN233" s="140"/>
      <c r="AO233" s="140"/>
      <c r="AP233" s="140"/>
      <c r="AQ233" s="140"/>
      <c r="AR233" s="140"/>
      <c r="AS233" s="140"/>
      <c r="AT233" s="140"/>
      <c r="AU233" s="140"/>
      <c r="AV233" s="140"/>
      <c r="AW233" s="140"/>
      <c r="AX233" s="140"/>
      <c r="AY233" s="140"/>
      <c r="AZ233" s="140"/>
      <c r="BA233" s="140"/>
      <c r="BB233" s="140"/>
      <c r="BC233" s="140"/>
      <c r="BD233" s="140"/>
      <c r="BE233" s="140"/>
    </row>
    <row r="234" s="119" customFormat="1" ht="48" customHeight="1" outlineLevel="2" spans="1:57">
      <c r="A234" s="162">
        <f>1+N(A233)</f>
        <v>3</v>
      </c>
      <c r="B234" s="165" t="s">
        <v>91</v>
      </c>
      <c r="C234" s="166" t="s">
        <v>92</v>
      </c>
      <c r="D234" s="165" t="s">
        <v>70</v>
      </c>
      <c r="E234" s="143">
        <v>39.943</v>
      </c>
      <c r="F234" s="143">
        <f>$F$22</f>
        <v>12</v>
      </c>
      <c r="G234" s="143">
        <f>$G$22</f>
        <v>25.75</v>
      </c>
      <c r="H234" s="143">
        <f>$H$22</f>
        <v>3.8</v>
      </c>
      <c r="I234" s="17">
        <f>(F234+G234+H234)*$I$3</f>
        <v>4.155</v>
      </c>
      <c r="J234" s="18">
        <f>ROUND(SUM(F234:I234),2)</f>
        <v>45.71</v>
      </c>
      <c r="K234" s="19">
        <f>ROUND(J234*E234,2)</f>
        <v>1825.79</v>
      </c>
      <c r="L234" s="135"/>
      <c r="M234" s="139">
        <v>1</v>
      </c>
      <c r="N234" s="139"/>
      <c r="O234" s="139"/>
      <c r="P234" s="37">
        <f>Q234+Q234*R234+S234+T234+U234</f>
        <v>41.55</v>
      </c>
      <c r="Q234" s="99">
        <f>$Q$22</f>
        <v>25</v>
      </c>
      <c r="R234" s="163">
        <f>$R$22</f>
        <v>0.03</v>
      </c>
      <c r="S234" s="99">
        <f>$S$22</f>
        <v>12</v>
      </c>
      <c r="T234" s="99">
        <f>$T$22</f>
        <v>3.5</v>
      </c>
      <c r="U234" s="99">
        <f>$U$22</f>
        <v>0.3</v>
      </c>
      <c r="V234" s="37">
        <f>P234*E234</f>
        <v>1659.63165</v>
      </c>
      <c r="W234" s="139"/>
      <c r="X234" s="139"/>
      <c r="Y234" s="139"/>
      <c r="Z234" s="139"/>
      <c r="AA234" s="139"/>
      <c r="AB234" s="139"/>
      <c r="AC234" s="139"/>
      <c r="AD234" s="139"/>
      <c r="AE234" s="139"/>
      <c r="AF234" s="140"/>
      <c r="AG234" s="140"/>
      <c r="AH234" s="140"/>
      <c r="AI234" s="140"/>
      <c r="AJ234" s="140"/>
      <c r="AK234" s="140"/>
      <c r="AL234" s="140"/>
      <c r="AM234" s="140"/>
      <c r="AN234" s="140"/>
      <c r="AO234" s="140"/>
      <c r="AP234" s="140"/>
      <c r="AQ234" s="140"/>
      <c r="AR234" s="140"/>
      <c r="AS234" s="140"/>
      <c r="AT234" s="140"/>
      <c r="AU234" s="140"/>
      <c r="AV234" s="140"/>
      <c r="AW234" s="140"/>
      <c r="AX234" s="140"/>
      <c r="AY234" s="140"/>
      <c r="AZ234" s="140"/>
      <c r="BA234" s="140"/>
      <c r="BB234" s="140"/>
      <c r="BC234" s="140"/>
      <c r="BD234" s="140"/>
      <c r="BE234" s="140"/>
    </row>
    <row r="235" s="119" customFormat="1" ht="48" customHeight="1" outlineLevel="2" spans="1:57">
      <c r="A235" s="162">
        <f>1+N(A234)</f>
        <v>4</v>
      </c>
      <c r="B235" s="165" t="s">
        <v>99</v>
      </c>
      <c r="C235" s="166" t="s">
        <v>100</v>
      </c>
      <c r="D235" s="165" t="s">
        <v>70</v>
      </c>
      <c r="E235" s="143">
        <v>39.943</v>
      </c>
      <c r="F235" s="143">
        <f>$F$26</f>
        <v>12</v>
      </c>
      <c r="G235" s="143">
        <f>$G$26</f>
        <v>23.4325</v>
      </c>
      <c r="H235" s="143">
        <f>$H$26</f>
        <v>3.8</v>
      </c>
      <c r="I235" s="17">
        <f>(F235+G235+H235)*$I$3</f>
        <v>3.92325</v>
      </c>
      <c r="J235" s="18">
        <f>ROUND(SUM(F235:I235),2)</f>
        <v>43.16</v>
      </c>
      <c r="K235" s="19">
        <f>ROUND(J235*E235,2)</f>
        <v>1723.94</v>
      </c>
      <c r="L235" s="135"/>
      <c r="M235" s="139">
        <v>1</v>
      </c>
      <c r="N235" s="139"/>
      <c r="O235" s="139"/>
      <c r="P235" s="37">
        <f>Q235+Q235*R235+S235+T235+U235</f>
        <v>39.2325</v>
      </c>
      <c r="Q235" s="99">
        <f>$Q$26</f>
        <v>22.75</v>
      </c>
      <c r="R235" s="163">
        <f>$R$26</f>
        <v>0.03</v>
      </c>
      <c r="S235" s="99">
        <f>$S$26</f>
        <v>12</v>
      </c>
      <c r="T235" s="99">
        <f>$T$26</f>
        <v>3.5</v>
      </c>
      <c r="U235" s="99">
        <f>$U$26</f>
        <v>0.3</v>
      </c>
      <c r="V235" s="37">
        <f>P235*E235</f>
        <v>1567.0637475</v>
      </c>
      <c r="W235" s="139"/>
      <c r="X235" s="139"/>
      <c r="Y235" s="139"/>
      <c r="Z235" s="139"/>
      <c r="AA235" s="139"/>
      <c r="AB235" s="139"/>
      <c r="AC235" s="139"/>
      <c r="AD235" s="139"/>
      <c r="AE235" s="139"/>
      <c r="AF235" s="140"/>
      <c r="AG235" s="140"/>
      <c r="AH235" s="140"/>
      <c r="AI235" s="140"/>
      <c r="AJ235" s="140"/>
      <c r="AK235" s="140"/>
      <c r="AL235" s="140"/>
      <c r="AM235" s="140"/>
      <c r="AN235" s="140"/>
      <c r="AO235" s="140"/>
      <c r="AP235" s="140"/>
      <c r="AQ235" s="140"/>
      <c r="AR235" s="140"/>
      <c r="AS235" s="140"/>
      <c r="AT235" s="140"/>
      <c r="AU235" s="140"/>
      <c r="AV235" s="140"/>
      <c r="AW235" s="140"/>
      <c r="AX235" s="140"/>
      <c r="AY235" s="140"/>
      <c r="AZ235" s="140"/>
      <c r="BA235" s="140"/>
      <c r="BB235" s="140"/>
      <c r="BC235" s="140"/>
      <c r="BD235" s="140"/>
      <c r="BE235" s="140"/>
    </row>
    <row r="236" s="119" customFormat="1" ht="24" customHeight="1" outlineLevel="1" spans="1:57">
      <c r="A236" s="141"/>
      <c r="B236" s="14" t="s">
        <v>101</v>
      </c>
      <c r="C236" s="15"/>
      <c r="D236" s="142"/>
      <c r="E236" s="143"/>
      <c r="F236" s="143"/>
      <c r="G236" s="143"/>
      <c r="H236" s="143"/>
      <c r="I236" s="143"/>
      <c r="J236" s="143"/>
      <c r="K236" s="144"/>
      <c r="L236" s="135"/>
      <c r="M236" s="139"/>
      <c r="N236" s="139"/>
      <c r="O236" s="139"/>
      <c r="P236" s="137"/>
      <c r="Q236" s="137"/>
      <c r="R236" s="138"/>
      <c r="S236" s="137"/>
      <c r="T236" s="137"/>
      <c r="U236" s="137"/>
      <c r="V236" s="137"/>
      <c r="W236" s="139"/>
      <c r="X236" s="139"/>
      <c r="Y236" s="139"/>
      <c r="Z236" s="139"/>
      <c r="AA236" s="139"/>
      <c r="AB236" s="139"/>
      <c r="AC236" s="139"/>
      <c r="AD236" s="139"/>
      <c r="AE236" s="139"/>
      <c r="AF236" s="140"/>
      <c r="AG236" s="140"/>
      <c r="AH236" s="140"/>
      <c r="AI236" s="140"/>
      <c r="AJ236" s="140"/>
      <c r="AK236" s="140"/>
      <c r="AL236" s="140"/>
      <c r="AM236" s="140"/>
      <c r="AN236" s="140"/>
      <c r="AO236" s="140"/>
      <c r="AP236" s="140"/>
      <c r="AQ236" s="140"/>
      <c r="AR236" s="140"/>
      <c r="AS236" s="140"/>
      <c r="AT236" s="140"/>
      <c r="AU236" s="140"/>
      <c r="AV236" s="140"/>
      <c r="AW236" s="140"/>
      <c r="AX236" s="140"/>
      <c r="AY236" s="140"/>
      <c r="AZ236" s="140"/>
      <c r="BA236" s="140"/>
      <c r="BB236" s="140"/>
      <c r="BC236" s="140"/>
      <c r="BD236" s="140"/>
      <c r="BE236" s="140"/>
    </row>
    <row r="237" s="119" customFormat="1" ht="96" customHeight="1" outlineLevel="2" spans="1:57">
      <c r="A237" s="162">
        <f>1+N(A236)</f>
        <v>1</v>
      </c>
      <c r="B237" s="14" t="s">
        <v>102</v>
      </c>
      <c r="C237" s="167" t="s">
        <v>103</v>
      </c>
      <c r="D237" s="142" t="s">
        <v>63</v>
      </c>
      <c r="E237" s="143">
        <v>78.56</v>
      </c>
      <c r="F237" s="143">
        <f>$F$28</f>
        <v>70</v>
      </c>
      <c r="G237" s="143">
        <f>$G$28</f>
        <v>0</v>
      </c>
      <c r="H237" s="143">
        <f>$H$28</f>
        <v>66.711</v>
      </c>
      <c r="I237" s="17">
        <f>(F237+G237+H237)*$I$3</f>
        <v>13.6711</v>
      </c>
      <c r="J237" s="18">
        <f>ROUND(SUM(F237:I237),2)</f>
        <v>150.38</v>
      </c>
      <c r="K237" s="19">
        <f>ROUND(J237*E237,2)</f>
        <v>11813.85</v>
      </c>
      <c r="L237" s="135"/>
      <c r="M237" s="139">
        <v>1</v>
      </c>
      <c r="N237" s="139"/>
      <c r="O237" s="139"/>
      <c r="P237" s="37">
        <f>Q237+Q237*R237+S237+T237+U237</f>
        <v>136.711</v>
      </c>
      <c r="Q237" s="99">
        <f>$Q$28</f>
        <v>0</v>
      </c>
      <c r="R237" s="163">
        <f>$R$28</f>
        <v>0.01</v>
      </c>
      <c r="S237" s="99">
        <f>$S$28</f>
        <v>70</v>
      </c>
      <c r="T237" s="99">
        <f>$T$28</f>
        <v>64.711</v>
      </c>
      <c r="U237" s="99">
        <f>$U$28</f>
        <v>2</v>
      </c>
      <c r="V237" s="37">
        <f>P237*E237</f>
        <v>10740.01616</v>
      </c>
      <c r="W237" s="139"/>
      <c r="X237" s="139"/>
      <c r="Y237" s="139"/>
      <c r="Z237" s="139"/>
      <c r="AA237" s="139"/>
      <c r="AB237" s="139"/>
      <c r="AC237" s="139"/>
      <c r="AD237" s="139"/>
      <c r="AE237" s="139"/>
      <c r="AF237" s="140"/>
      <c r="AG237" s="140"/>
      <c r="AH237" s="140"/>
      <c r="AI237" s="140"/>
      <c r="AJ237" s="140"/>
      <c r="AK237" s="140"/>
      <c r="AL237" s="140"/>
      <c r="AM237" s="140"/>
      <c r="AN237" s="140"/>
      <c r="AO237" s="140"/>
      <c r="AP237" s="140"/>
      <c r="AQ237" s="140"/>
      <c r="AR237" s="140"/>
      <c r="AS237" s="140"/>
      <c r="AT237" s="140"/>
      <c r="AU237" s="140"/>
      <c r="AV237" s="140"/>
      <c r="AW237" s="140"/>
      <c r="AX237" s="140"/>
      <c r="AY237" s="140"/>
      <c r="AZ237" s="140"/>
      <c r="BA237" s="140"/>
      <c r="BB237" s="140"/>
      <c r="BC237" s="140"/>
      <c r="BD237" s="140"/>
      <c r="BE237" s="140"/>
    </row>
    <row r="238" s="119" customFormat="1" ht="48" customHeight="1" outlineLevel="2" spans="1:57">
      <c r="A238" s="162">
        <f>1+N(A237)</f>
        <v>2</v>
      </c>
      <c r="B238" s="14" t="s">
        <v>104</v>
      </c>
      <c r="C238" s="167" t="s">
        <v>105</v>
      </c>
      <c r="D238" s="142" t="s">
        <v>70</v>
      </c>
      <c r="E238" s="143">
        <v>40.93</v>
      </c>
      <c r="F238" s="143">
        <f>$F$29</f>
        <v>50</v>
      </c>
      <c r="G238" s="143">
        <f>$G$29</f>
        <v>0</v>
      </c>
      <c r="H238" s="143">
        <f>$H$29</f>
        <v>22.0941</v>
      </c>
      <c r="I238" s="17">
        <f>(F238+G238+H238)*$I$3</f>
        <v>7.20941</v>
      </c>
      <c r="J238" s="18">
        <f>ROUND(SUM(F238:I238),2)</f>
        <v>79.3</v>
      </c>
      <c r="K238" s="19">
        <f>ROUND(J238*E238,2)</f>
        <v>3245.75</v>
      </c>
      <c r="L238" s="135"/>
      <c r="M238" s="139">
        <v>1</v>
      </c>
      <c r="N238" s="139"/>
      <c r="O238" s="139"/>
      <c r="P238" s="37">
        <f>Q238+Q238*R238+S238+T238+U238</f>
        <v>72.0941</v>
      </c>
      <c r="Q238" s="99">
        <f>$Q$29</f>
        <v>0</v>
      </c>
      <c r="R238" s="163">
        <f>$R$29</f>
        <v>0.01</v>
      </c>
      <c r="S238" s="99">
        <f>$S$29</f>
        <v>50</v>
      </c>
      <c r="T238" s="99">
        <f>$T$29</f>
        <v>22.0941</v>
      </c>
      <c r="U238" s="99">
        <f>$U$29</f>
        <v>0</v>
      </c>
      <c r="V238" s="37">
        <f>P238*E238</f>
        <v>2950.811513</v>
      </c>
      <c r="W238" s="139"/>
      <c r="X238" s="139"/>
      <c r="Y238" s="139"/>
      <c r="Z238" s="139"/>
      <c r="AA238" s="139"/>
      <c r="AB238" s="139"/>
      <c r="AC238" s="139"/>
      <c r="AD238" s="139"/>
      <c r="AE238" s="139"/>
      <c r="AF238" s="140"/>
      <c r="AG238" s="140"/>
      <c r="AH238" s="140"/>
      <c r="AI238" s="140"/>
      <c r="AJ238" s="140"/>
      <c r="AK238" s="140"/>
      <c r="AL238" s="140"/>
      <c r="AM238" s="140"/>
      <c r="AN238" s="140"/>
      <c r="AO238" s="140"/>
      <c r="AP238" s="140"/>
      <c r="AQ238" s="140"/>
      <c r="AR238" s="140"/>
      <c r="AS238" s="140"/>
      <c r="AT238" s="140"/>
      <c r="AU238" s="140"/>
      <c r="AV238" s="140"/>
      <c r="AW238" s="140"/>
      <c r="AX238" s="140"/>
      <c r="AY238" s="140"/>
      <c r="AZ238" s="140"/>
      <c r="BA238" s="140"/>
      <c r="BB238" s="140"/>
      <c r="BC238" s="140"/>
      <c r="BD238" s="140"/>
      <c r="BE238" s="140"/>
    </row>
    <row r="239" s="119" customFormat="1" ht="48" customHeight="1" outlineLevel="2" spans="1:57">
      <c r="A239" s="162">
        <f>1+N(A238)</f>
        <v>3</v>
      </c>
      <c r="B239" s="14" t="s">
        <v>106</v>
      </c>
      <c r="C239" s="167" t="s">
        <v>107</v>
      </c>
      <c r="D239" s="142" t="s">
        <v>70</v>
      </c>
      <c r="E239" s="143">
        <v>40.93</v>
      </c>
      <c r="F239" s="143">
        <f>$F$30</f>
        <v>18</v>
      </c>
      <c r="G239" s="143">
        <f>$G$30</f>
        <v>163.255</v>
      </c>
      <c r="H239" s="143">
        <f>$H$30</f>
        <v>3.8</v>
      </c>
      <c r="I239" s="17">
        <f>(F239+G239+H239)*$I$3</f>
        <v>18.5055</v>
      </c>
      <c r="J239" s="18">
        <f>ROUND(SUM(F239:I239),2)</f>
        <v>203.56</v>
      </c>
      <c r="K239" s="19">
        <f>ROUND(J239*E239,2)</f>
        <v>8331.71</v>
      </c>
      <c r="L239" s="135"/>
      <c r="M239" s="139">
        <v>1</v>
      </c>
      <c r="N239" s="139"/>
      <c r="O239" s="139"/>
      <c r="P239" s="37">
        <f>Q239+Q239*R239+S239+T239+U239</f>
        <v>185.055</v>
      </c>
      <c r="Q239" s="99">
        <f>$Q$30</f>
        <v>158.5</v>
      </c>
      <c r="R239" s="163">
        <f>$R$30</f>
        <v>0.03</v>
      </c>
      <c r="S239" s="99">
        <f>$S$30</f>
        <v>18</v>
      </c>
      <c r="T239" s="99">
        <f>$T$30</f>
        <v>3.5</v>
      </c>
      <c r="U239" s="99">
        <f>$U$30</f>
        <v>0.3</v>
      </c>
      <c r="V239" s="37">
        <f>P239*E239</f>
        <v>7574.30115</v>
      </c>
      <c r="W239" s="139"/>
      <c r="X239" s="139"/>
      <c r="Y239" s="139"/>
      <c r="Z239" s="139"/>
      <c r="AA239" s="139"/>
      <c r="AB239" s="139"/>
      <c r="AC239" s="139"/>
      <c r="AD239" s="139"/>
      <c r="AE239" s="139"/>
      <c r="AF239" s="140"/>
      <c r="AG239" s="140"/>
      <c r="AH239" s="140"/>
      <c r="AI239" s="140"/>
      <c r="AJ239" s="140"/>
      <c r="AK239" s="140"/>
      <c r="AL239" s="140"/>
      <c r="AM239" s="140"/>
      <c r="AN239" s="140"/>
      <c r="AO239" s="140"/>
      <c r="AP239" s="140"/>
      <c r="AQ239" s="140"/>
      <c r="AR239" s="140"/>
      <c r="AS239" s="140"/>
      <c r="AT239" s="140"/>
      <c r="AU239" s="140"/>
      <c r="AV239" s="140"/>
      <c r="AW239" s="140"/>
      <c r="AX239" s="140"/>
      <c r="AY239" s="140"/>
      <c r="AZ239" s="140"/>
      <c r="BA239" s="140"/>
      <c r="BB239" s="140"/>
      <c r="BC239" s="140"/>
      <c r="BD239" s="140"/>
      <c r="BE239" s="140"/>
    </row>
    <row r="240" s="119" customFormat="1" ht="72" customHeight="1" outlineLevel="2" spans="1:57">
      <c r="A240" s="162">
        <f>1+N(A239)</f>
        <v>4</v>
      </c>
      <c r="B240" s="14" t="s">
        <v>110</v>
      </c>
      <c r="C240" s="167" t="s">
        <v>111</v>
      </c>
      <c r="D240" s="142" t="s">
        <v>63</v>
      </c>
      <c r="E240" s="143">
        <f>78.56+40.93*0.3</f>
        <v>90.839</v>
      </c>
      <c r="F240" s="143">
        <f>$F$32</f>
        <v>45</v>
      </c>
      <c r="G240" s="143">
        <f>$G$32</f>
        <v>85.5</v>
      </c>
      <c r="H240" s="143">
        <f>$H$32</f>
        <v>7.3</v>
      </c>
      <c r="I240" s="17">
        <f>(F240+G240+H240)*$I$3</f>
        <v>13.78</v>
      </c>
      <c r="J240" s="18">
        <f>ROUND(SUM(F240:I240),2)</f>
        <v>151.58</v>
      </c>
      <c r="K240" s="19">
        <f>ROUND(J240*E240,2)</f>
        <v>13769.38</v>
      </c>
      <c r="L240" s="135"/>
      <c r="M240" s="139">
        <v>1</v>
      </c>
      <c r="N240" s="139"/>
      <c r="O240" s="139"/>
      <c r="P240" s="37">
        <f>Q240+Q240*R240+S240+T240+U240</f>
        <v>137.8</v>
      </c>
      <c r="Q240" s="99">
        <f>$Q$32</f>
        <v>85.5</v>
      </c>
      <c r="R240" s="163">
        <f>$R$32</f>
        <v>0</v>
      </c>
      <c r="S240" s="99">
        <f>$S$32</f>
        <v>45</v>
      </c>
      <c r="T240" s="99">
        <f>$T$32</f>
        <v>6.5</v>
      </c>
      <c r="U240" s="99">
        <f>$U$32</f>
        <v>0.8</v>
      </c>
      <c r="V240" s="37">
        <f>P240*E240</f>
        <v>12517.6142</v>
      </c>
      <c r="W240" s="139"/>
      <c r="X240" s="139"/>
      <c r="Y240" s="139"/>
      <c r="Z240" s="139"/>
      <c r="AA240" s="139"/>
      <c r="AB240" s="139"/>
      <c r="AC240" s="139"/>
      <c r="AD240" s="139"/>
      <c r="AE240" s="139"/>
      <c r="AF240" s="140"/>
      <c r="AG240" s="140"/>
      <c r="AH240" s="140"/>
      <c r="AI240" s="140"/>
      <c r="AJ240" s="140"/>
      <c r="AK240" s="140"/>
      <c r="AL240" s="140"/>
      <c r="AM240" s="140"/>
      <c r="AN240" s="140"/>
      <c r="AO240" s="140"/>
      <c r="AP240" s="140"/>
      <c r="AQ240" s="140"/>
      <c r="AR240" s="140"/>
      <c r="AS240" s="140"/>
      <c r="AT240" s="140"/>
      <c r="AU240" s="140"/>
      <c r="AV240" s="140"/>
      <c r="AW240" s="140"/>
      <c r="AX240" s="140"/>
      <c r="AY240" s="140"/>
      <c r="AZ240" s="140"/>
      <c r="BA240" s="140"/>
      <c r="BB240" s="140"/>
      <c r="BC240" s="140"/>
      <c r="BD240" s="140"/>
      <c r="BE240" s="140"/>
    </row>
    <row r="241" s="119" customFormat="1" ht="24" customHeight="1" outlineLevel="1" spans="1:57">
      <c r="A241" s="141"/>
      <c r="B241" s="14" t="s">
        <v>112</v>
      </c>
      <c r="C241" s="15"/>
      <c r="D241" s="142"/>
      <c r="E241" s="143"/>
      <c r="F241" s="143"/>
      <c r="G241" s="143"/>
      <c r="H241" s="143"/>
      <c r="I241" s="143"/>
      <c r="J241" s="143"/>
      <c r="K241" s="144"/>
      <c r="L241" s="135"/>
      <c r="M241" s="139"/>
      <c r="N241" s="139"/>
      <c r="O241" s="139"/>
      <c r="P241" s="137"/>
      <c r="Q241" s="137"/>
      <c r="R241" s="138"/>
      <c r="S241" s="137"/>
      <c r="T241" s="137"/>
      <c r="U241" s="137"/>
      <c r="V241" s="137"/>
      <c r="W241" s="139"/>
      <c r="X241" s="139"/>
      <c r="Y241" s="139"/>
      <c r="Z241" s="139"/>
      <c r="AA241" s="139"/>
      <c r="AB241" s="139"/>
      <c r="AC241" s="139"/>
      <c r="AD241" s="139"/>
      <c r="AE241" s="139"/>
      <c r="AF241" s="140"/>
      <c r="AG241" s="140"/>
      <c r="AH241" s="140"/>
      <c r="AI241" s="140"/>
      <c r="AJ241" s="140"/>
      <c r="AK241" s="140"/>
      <c r="AL241" s="140"/>
      <c r="AM241" s="140"/>
      <c r="AN241" s="140"/>
      <c r="AO241" s="140"/>
      <c r="AP241" s="140"/>
      <c r="AQ241" s="140"/>
      <c r="AR241" s="140"/>
      <c r="AS241" s="140"/>
      <c r="AT241" s="140"/>
      <c r="AU241" s="140"/>
      <c r="AV241" s="140"/>
      <c r="AW241" s="140"/>
      <c r="AX241" s="140"/>
      <c r="AY241" s="140"/>
      <c r="AZ241" s="140"/>
      <c r="BA241" s="140"/>
      <c r="BB241" s="140"/>
      <c r="BC241" s="140"/>
      <c r="BD241" s="140"/>
      <c r="BE241" s="140"/>
    </row>
    <row r="242" s="119" customFormat="1" ht="36" customHeight="1" outlineLevel="2" spans="1:57">
      <c r="A242" s="162">
        <f>1+N(A241)</f>
        <v>1</v>
      </c>
      <c r="B242" s="14" t="s">
        <v>126</v>
      </c>
      <c r="C242" s="15" t="s">
        <v>114</v>
      </c>
      <c r="D242" s="142" t="s">
        <v>63</v>
      </c>
      <c r="E242" s="143">
        <f>0.7*3</f>
        <v>2.1</v>
      </c>
      <c r="F242" s="143">
        <f>$F$60</f>
        <v>165</v>
      </c>
      <c r="G242" s="143">
        <f>$G$60</f>
        <v>85</v>
      </c>
      <c r="H242" s="143">
        <f>$H$60</f>
        <v>355.1744</v>
      </c>
      <c r="I242" s="17">
        <f>(F242+G242+H242)*$I$3</f>
        <v>60.51744</v>
      </c>
      <c r="J242" s="18">
        <f>ROUND(SUM(F242:I242),2)</f>
        <v>665.69</v>
      </c>
      <c r="K242" s="19">
        <f>ROUND(J242*E242,2)</f>
        <v>1397.95</v>
      </c>
      <c r="L242" s="135"/>
      <c r="M242" s="139">
        <v>1</v>
      </c>
      <c r="N242" s="139"/>
      <c r="O242" s="139"/>
      <c r="P242" s="37">
        <f>Q242+Q242*R242+S242+T242+U242</f>
        <v>605.1744</v>
      </c>
      <c r="Q242" s="99">
        <f>$Q$60</f>
        <v>85</v>
      </c>
      <c r="R242" s="163">
        <f>$R$60</f>
        <v>0</v>
      </c>
      <c r="S242" s="99">
        <f>$S$60</f>
        <v>165</v>
      </c>
      <c r="T242" s="99">
        <f>$T$60</f>
        <v>353.6744</v>
      </c>
      <c r="U242" s="99">
        <f>$U$60</f>
        <v>1.5</v>
      </c>
      <c r="V242" s="37">
        <f>P242*E242</f>
        <v>1270.86624</v>
      </c>
      <c r="W242" s="139"/>
      <c r="X242" s="139"/>
      <c r="Y242" s="139"/>
      <c r="Z242" s="139"/>
      <c r="AA242" s="139"/>
      <c r="AB242" s="139"/>
      <c r="AC242" s="139"/>
      <c r="AD242" s="139"/>
      <c r="AE242" s="139"/>
      <c r="AF242" s="140"/>
      <c r="AG242" s="140"/>
      <c r="AH242" s="140"/>
      <c r="AI242" s="140"/>
      <c r="AJ242" s="140"/>
      <c r="AK242" s="140"/>
      <c r="AL242" s="140"/>
      <c r="AM242" s="140"/>
      <c r="AN242" s="140"/>
      <c r="AO242" s="140"/>
      <c r="AP242" s="140"/>
      <c r="AQ242" s="140"/>
      <c r="AR242" s="140"/>
      <c r="AS242" s="140"/>
      <c r="AT242" s="140"/>
      <c r="AU242" s="140"/>
      <c r="AV242" s="140"/>
      <c r="AW242" s="140"/>
      <c r="AX242" s="140"/>
      <c r="AY242" s="140"/>
      <c r="AZ242" s="140"/>
      <c r="BA242" s="140"/>
      <c r="BB242" s="140"/>
      <c r="BC242" s="140"/>
      <c r="BD242" s="140"/>
      <c r="BE242" s="140"/>
    </row>
    <row r="243" s="119" customFormat="1" ht="24" customHeight="1" outlineLevel="1" spans="1:57">
      <c r="A243" s="132" t="s">
        <v>142</v>
      </c>
      <c r="B243" s="8" t="s">
        <v>205</v>
      </c>
      <c r="C243" s="8"/>
      <c r="D243" s="133"/>
      <c r="E243" s="134"/>
      <c r="F243" s="134"/>
      <c r="G243" s="134"/>
      <c r="H243" s="134"/>
      <c r="I243" s="134"/>
      <c r="J243" s="134"/>
      <c r="K243" s="11"/>
      <c r="L243" s="135"/>
      <c r="M243" s="139"/>
      <c r="N243" s="139"/>
      <c r="O243" s="170" t="str">
        <f>_xlfn.DISPIMG("ID_04C7688EC066428C80D92424805BDF58",1)</f>
        <v>=DISPIMG("ID_04C7688EC066428C80D92424805BDF58",1)</v>
      </c>
      <c r="P243" s="137"/>
      <c r="Q243" s="137"/>
      <c r="R243" s="138"/>
      <c r="S243" s="137"/>
      <c r="T243" s="137"/>
      <c r="U243" s="137"/>
      <c r="V243" s="137"/>
      <c r="W243" s="139"/>
      <c r="X243" s="139"/>
      <c r="Y243" s="139"/>
      <c r="Z243" s="139"/>
      <c r="AA243" s="139"/>
      <c r="AB243" s="139"/>
      <c r="AC243" s="139"/>
      <c r="AD243" s="139"/>
      <c r="AE243" s="139"/>
      <c r="AF243" s="140"/>
      <c r="AG243" s="140"/>
      <c r="AH243" s="140"/>
      <c r="AI243" s="140"/>
      <c r="AJ243" s="140"/>
      <c r="AK243" s="140"/>
      <c r="AL243" s="140"/>
      <c r="AM243" s="140"/>
      <c r="AN243" s="140"/>
      <c r="AO243" s="140"/>
      <c r="AP243" s="140"/>
      <c r="AQ243" s="140"/>
      <c r="AR243" s="140"/>
      <c r="AS243" s="140"/>
      <c r="AT243" s="140"/>
      <c r="AU243" s="140"/>
      <c r="AV243" s="140"/>
      <c r="AW243" s="140"/>
      <c r="AX243" s="140"/>
      <c r="AY243" s="140"/>
      <c r="AZ243" s="140"/>
      <c r="BA243" s="140"/>
      <c r="BB243" s="140"/>
      <c r="BC243" s="140"/>
      <c r="BD243" s="140"/>
      <c r="BE243" s="140"/>
    </row>
    <row r="244" s="119" customFormat="1" ht="24" customHeight="1" outlineLevel="1" spans="1:57">
      <c r="A244" s="141"/>
      <c r="B244" s="14" t="s">
        <v>60</v>
      </c>
      <c r="C244" s="15"/>
      <c r="D244" s="142"/>
      <c r="E244" s="143"/>
      <c r="F244" s="143"/>
      <c r="G244" s="143"/>
      <c r="H244" s="143"/>
      <c r="I244" s="143"/>
      <c r="J244" s="143"/>
      <c r="K244" s="144"/>
      <c r="L244" s="135"/>
      <c r="M244" s="139"/>
      <c r="N244" s="139"/>
      <c r="O244" s="139"/>
      <c r="P244" s="137"/>
      <c r="Q244" s="137"/>
      <c r="R244" s="138"/>
      <c r="S244" s="137"/>
      <c r="T244" s="137"/>
      <c r="U244" s="137"/>
      <c r="V244" s="137"/>
      <c r="W244" s="139"/>
      <c r="X244" s="139"/>
      <c r="Y244" s="139"/>
      <c r="Z244" s="139"/>
      <c r="AA244" s="139"/>
      <c r="AB244" s="139"/>
      <c r="AC244" s="139"/>
      <c r="AD244" s="139"/>
      <c r="AE244" s="139"/>
      <c r="AF244" s="140"/>
      <c r="AG244" s="140"/>
      <c r="AH244" s="140"/>
      <c r="AI244" s="140"/>
      <c r="AJ244" s="140"/>
      <c r="AK244" s="140"/>
      <c r="AL244" s="140"/>
      <c r="AM244" s="140"/>
      <c r="AN244" s="140"/>
      <c r="AO244" s="140"/>
      <c r="AP244" s="140"/>
      <c r="AQ244" s="140"/>
      <c r="AR244" s="140"/>
      <c r="AS244" s="140"/>
      <c r="AT244" s="140"/>
      <c r="AU244" s="140"/>
      <c r="AV244" s="140"/>
      <c r="AW244" s="140"/>
      <c r="AX244" s="140"/>
      <c r="AY244" s="140"/>
      <c r="AZ244" s="140"/>
      <c r="BA244" s="140"/>
      <c r="BB244" s="140"/>
      <c r="BC244" s="140"/>
      <c r="BD244" s="140"/>
      <c r="BE244" s="140"/>
    </row>
    <row r="245" s="119" customFormat="1" ht="96" customHeight="1" outlineLevel="2" spans="1:57">
      <c r="A245" s="162">
        <f>1+N(A244)</f>
        <v>1</v>
      </c>
      <c r="B245" s="14" t="s">
        <v>61</v>
      </c>
      <c r="C245" s="15" t="s">
        <v>62</v>
      </c>
      <c r="D245" s="142" t="s">
        <v>63</v>
      </c>
      <c r="E245" s="143">
        <v>9.8</v>
      </c>
      <c r="F245" s="143">
        <f>$F$7</f>
        <v>130</v>
      </c>
      <c r="G245" s="143">
        <f>$G$7</f>
        <v>628.3</v>
      </c>
      <c r="H245" s="17">
        <f>$H$7</f>
        <v>47.7</v>
      </c>
      <c r="I245" s="17">
        <f>(F245+G245+H245)*$I$3</f>
        <v>80.6</v>
      </c>
      <c r="J245" s="18">
        <f>ROUND(SUM(F245:I245),2)</f>
        <v>886.6</v>
      </c>
      <c r="K245" s="19">
        <f>ROUND(J245*E245,2)</f>
        <v>8688.68</v>
      </c>
      <c r="L245" s="135"/>
      <c r="M245" s="139">
        <v>1</v>
      </c>
      <c r="N245" s="139"/>
      <c r="O245" s="139"/>
      <c r="P245" s="37">
        <f>Q245+Q245*R245+S245+T245+U245</f>
        <v>806</v>
      </c>
      <c r="Q245" s="99">
        <f>$Q$7</f>
        <v>610</v>
      </c>
      <c r="R245" s="163">
        <f>$R$7</f>
        <v>0.03</v>
      </c>
      <c r="S245" s="99">
        <f>$S$7</f>
        <v>130</v>
      </c>
      <c r="T245" s="99">
        <f>$T$7</f>
        <v>46.2</v>
      </c>
      <c r="U245" s="99">
        <f>$U$7</f>
        <v>1.5</v>
      </c>
      <c r="V245" s="37">
        <f>P245*E245</f>
        <v>7898.8</v>
      </c>
      <c r="W245" s="139"/>
      <c r="X245" s="139"/>
      <c r="Y245" s="139"/>
      <c r="Z245" s="139"/>
      <c r="AA245" s="139"/>
      <c r="AB245" s="139"/>
      <c r="AC245" s="139"/>
      <c r="AD245" s="139"/>
      <c r="AE245" s="139"/>
      <c r="AF245" s="140"/>
      <c r="AG245" s="140"/>
      <c r="AH245" s="140"/>
      <c r="AI245" s="140"/>
      <c r="AJ245" s="140"/>
      <c r="AK245" s="140"/>
      <c r="AL245" s="140"/>
      <c r="AM245" s="140"/>
      <c r="AN245" s="140"/>
      <c r="AO245" s="140"/>
      <c r="AP245" s="140"/>
      <c r="AQ245" s="140"/>
      <c r="AR245" s="140"/>
      <c r="AS245" s="140"/>
      <c r="AT245" s="140"/>
      <c r="AU245" s="140"/>
      <c r="AV245" s="140"/>
      <c r="AW245" s="140"/>
      <c r="AX245" s="140"/>
      <c r="AY245" s="140"/>
      <c r="AZ245" s="140"/>
      <c r="BA245" s="140"/>
      <c r="BB245" s="140"/>
      <c r="BC245" s="140"/>
      <c r="BD245" s="140"/>
      <c r="BE245" s="140"/>
    </row>
    <row r="246" s="119" customFormat="1" ht="108" customHeight="1" outlineLevel="2" spans="1:57">
      <c r="A246" s="162">
        <f>1+N(A245)</f>
        <v>2</v>
      </c>
      <c r="B246" s="14" t="s">
        <v>64</v>
      </c>
      <c r="C246" s="15" t="s">
        <v>65</v>
      </c>
      <c r="D246" s="142" t="s">
        <v>63</v>
      </c>
      <c r="E246" s="143">
        <v>10.6</v>
      </c>
      <c r="F246" s="143">
        <f>$F$8</f>
        <v>130</v>
      </c>
      <c r="G246" s="143">
        <f>$G$8</f>
        <v>854.9</v>
      </c>
      <c r="H246" s="143">
        <f>$H$8</f>
        <v>47.7</v>
      </c>
      <c r="I246" s="17">
        <f>(F246+G246+H246)*$I$3</f>
        <v>103.26</v>
      </c>
      <c r="J246" s="18">
        <f>ROUND(SUM(F246:I246),2)</f>
        <v>1135.86</v>
      </c>
      <c r="K246" s="19">
        <f>ROUND(J246*E246,2)</f>
        <v>12040.12</v>
      </c>
      <c r="L246" s="135"/>
      <c r="M246" s="139">
        <v>1</v>
      </c>
      <c r="N246" s="139"/>
      <c r="O246" s="139"/>
      <c r="P246" s="37">
        <f>Q246+Q246*R246+S246+T246+U246</f>
        <v>1032.6</v>
      </c>
      <c r="Q246" s="99">
        <f>$Q$8</f>
        <v>830</v>
      </c>
      <c r="R246" s="163">
        <f>$R$8</f>
        <v>0.03</v>
      </c>
      <c r="S246" s="99">
        <f>$S$8</f>
        <v>130</v>
      </c>
      <c r="T246" s="99">
        <f>$T$8</f>
        <v>46.2</v>
      </c>
      <c r="U246" s="99">
        <f>$U$8</f>
        <v>1.5</v>
      </c>
      <c r="V246" s="37">
        <f>P246*E246</f>
        <v>10945.56</v>
      </c>
      <c r="W246" s="139"/>
      <c r="X246" s="139"/>
      <c r="Y246" s="139"/>
      <c r="Z246" s="139"/>
      <c r="AA246" s="139"/>
      <c r="AB246" s="139"/>
      <c r="AC246" s="139"/>
      <c r="AD246" s="139"/>
      <c r="AE246" s="139"/>
      <c r="AF246" s="140"/>
      <c r="AG246" s="140"/>
      <c r="AH246" s="140"/>
      <c r="AI246" s="140"/>
      <c r="AJ246" s="140"/>
      <c r="AK246" s="140"/>
      <c r="AL246" s="140"/>
      <c r="AM246" s="140"/>
      <c r="AN246" s="140"/>
      <c r="AO246" s="140"/>
      <c r="AP246" s="140"/>
      <c r="AQ246" s="140"/>
      <c r="AR246" s="140"/>
      <c r="AS246" s="140"/>
      <c r="AT246" s="140"/>
      <c r="AU246" s="140"/>
      <c r="AV246" s="140"/>
      <c r="AW246" s="140"/>
      <c r="AX246" s="140"/>
      <c r="AY246" s="140"/>
      <c r="AZ246" s="140"/>
      <c r="BA246" s="140"/>
      <c r="BB246" s="140"/>
      <c r="BC246" s="140"/>
      <c r="BD246" s="140"/>
      <c r="BE246" s="140"/>
    </row>
    <row r="247" s="119" customFormat="1" ht="36" customHeight="1" outlineLevel="2" spans="1:57">
      <c r="A247" s="162">
        <f>1+N(A246)</f>
        <v>3</v>
      </c>
      <c r="B247" s="14" t="s">
        <v>68</v>
      </c>
      <c r="C247" s="15" t="s">
        <v>69</v>
      </c>
      <c r="D247" s="142" t="s">
        <v>70</v>
      </c>
      <c r="E247" s="143">
        <v>12.6</v>
      </c>
      <c r="F247" s="143">
        <f>$F$10</f>
        <v>12</v>
      </c>
      <c r="G247" s="143">
        <f>$G$10</f>
        <v>19.57</v>
      </c>
      <c r="H247" s="143">
        <f>$H$10</f>
        <v>0.5</v>
      </c>
      <c r="I247" s="17">
        <f>(F247+G247+H247)*$I$3</f>
        <v>3.207</v>
      </c>
      <c r="J247" s="18">
        <f>ROUND(SUM(F247:I247),2)</f>
        <v>35.28</v>
      </c>
      <c r="K247" s="19">
        <f>ROUND(J247*E247,2)</f>
        <v>444.53</v>
      </c>
      <c r="L247" s="135"/>
      <c r="M247" s="139">
        <v>1</v>
      </c>
      <c r="N247" s="139"/>
      <c r="O247" s="139"/>
      <c r="P247" s="37">
        <f>Q247+Q247*R247+S247+T247+U247</f>
        <v>32.07</v>
      </c>
      <c r="Q247" s="99">
        <f>$Q$10</f>
        <v>19</v>
      </c>
      <c r="R247" s="163">
        <f>$R$10</f>
        <v>0.03</v>
      </c>
      <c r="S247" s="99">
        <f>$S$10</f>
        <v>12</v>
      </c>
      <c r="T247" s="99">
        <f>$T$10</f>
        <v>0.3</v>
      </c>
      <c r="U247" s="99">
        <f>$U$10</f>
        <v>0.2</v>
      </c>
      <c r="V247" s="37">
        <f>P247*E247</f>
        <v>404.082</v>
      </c>
      <c r="W247" s="139"/>
      <c r="X247" s="139"/>
      <c r="Y247" s="139"/>
      <c r="Z247" s="139"/>
      <c r="AA247" s="139"/>
      <c r="AB247" s="139"/>
      <c r="AC247" s="139"/>
      <c r="AD247" s="139"/>
      <c r="AE247" s="139"/>
      <c r="AF247" s="140"/>
      <c r="AG247" s="140"/>
      <c r="AH247" s="140"/>
      <c r="AI247" s="140"/>
      <c r="AJ247" s="140"/>
      <c r="AK247" s="140"/>
      <c r="AL247" s="140"/>
      <c r="AM247" s="140"/>
      <c r="AN247" s="140"/>
      <c r="AO247" s="140"/>
      <c r="AP247" s="140"/>
      <c r="AQ247" s="140"/>
      <c r="AR247" s="140"/>
      <c r="AS247" s="140"/>
      <c r="AT247" s="140"/>
      <c r="AU247" s="140"/>
      <c r="AV247" s="140"/>
      <c r="AW247" s="140"/>
      <c r="AX247" s="140"/>
      <c r="AY247" s="140"/>
      <c r="AZ247" s="140"/>
      <c r="BA247" s="140"/>
      <c r="BB247" s="140"/>
      <c r="BC247" s="140"/>
      <c r="BD247" s="140"/>
      <c r="BE247" s="140"/>
    </row>
    <row r="248" s="119" customFormat="1" ht="48" customHeight="1" outlineLevel="2" spans="1:57">
      <c r="A248" s="162">
        <f>1+N(A247)</f>
        <v>4</v>
      </c>
      <c r="B248" s="14" t="s">
        <v>71</v>
      </c>
      <c r="C248" s="15" t="s">
        <v>72</v>
      </c>
      <c r="D248" s="142" t="s">
        <v>63</v>
      </c>
      <c r="E248" s="143">
        <v>20.4</v>
      </c>
      <c r="F248" s="143">
        <f>$F$11</f>
        <v>40</v>
      </c>
      <c r="G248" s="143">
        <f>$G$11</f>
        <v>15</v>
      </c>
      <c r="H248" s="143">
        <f>$H$11</f>
        <v>0.8</v>
      </c>
      <c r="I248" s="17">
        <f>(F248+G248+H248)*$I$3</f>
        <v>5.58</v>
      </c>
      <c r="J248" s="18">
        <f>ROUND(SUM(F248:I248),2)</f>
        <v>61.38</v>
      </c>
      <c r="K248" s="19">
        <f>ROUND(J248*E248,2)</f>
        <v>1252.15</v>
      </c>
      <c r="L248" s="135"/>
      <c r="M248" s="139">
        <v>1</v>
      </c>
      <c r="N248" s="139"/>
      <c r="O248" s="139"/>
      <c r="P248" s="37">
        <f>Q248+Q248*R248+S248+T248+U248</f>
        <v>55.8</v>
      </c>
      <c r="Q248" s="99">
        <f>$Q$11</f>
        <v>15</v>
      </c>
      <c r="R248" s="163">
        <f>$R$11</f>
        <v>0</v>
      </c>
      <c r="S248" s="99">
        <f>$S$11</f>
        <v>40</v>
      </c>
      <c r="T248" s="99">
        <f>$T$11</f>
        <v>0.5</v>
      </c>
      <c r="U248" s="99">
        <f>$U$11</f>
        <v>0.3</v>
      </c>
      <c r="V248" s="37">
        <f>P248*E248</f>
        <v>1138.32</v>
      </c>
      <c r="W248" s="139"/>
      <c r="X248" s="139"/>
      <c r="Y248" s="139"/>
      <c r="Z248" s="139"/>
      <c r="AA248" s="139"/>
      <c r="AB248" s="139"/>
      <c r="AC248" s="139"/>
      <c r="AD248" s="139"/>
      <c r="AE248" s="139"/>
      <c r="AF248" s="140"/>
      <c r="AG248" s="140"/>
      <c r="AH248" s="140"/>
      <c r="AI248" s="140"/>
      <c r="AJ248" s="140"/>
      <c r="AK248" s="140"/>
      <c r="AL248" s="140"/>
      <c r="AM248" s="140"/>
      <c r="AN248" s="140"/>
      <c r="AO248" s="140"/>
      <c r="AP248" s="140"/>
      <c r="AQ248" s="140"/>
      <c r="AR248" s="140"/>
      <c r="AS248" s="140"/>
      <c r="AT248" s="140"/>
      <c r="AU248" s="140"/>
      <c r="AV248" s="140"/>
      <c r="AW248" s="140"/>
      <c r="AX248" s="140"/>
      <c r="AY248" s="140"/>
      <c r="AZ248" s="140"/>
      <c r="BA248" s="140"/>
      <c r="BB248" s="140"/>
      <c r="BC248" s="140"/>
      <c r="BD248" s="140"/>
      <c r="BE248" s="140"/>
    </row>
    <row r="249" s="119" customFormat="1" ht="24" customHeight="1" outlineLevel="1" spans="1:57">
      <c r="A249" s="141"/>
      <c r="B249" s="14" t="s">
        <v>73</v>
      </c>
      <c r="C249" s="15"/>
      <c r="D249" s="142"/>
      <c r="E249" s="143"/>
      <c r="F249" s="143"/>
      <c r="G249" s="143"/>
      <c r="H249" s="143"/>
      <c r="I249" s="143"/>
      <c r="J249" s="143"/>
      <c r="K249" s="144"/>
      <c r="L249" s="135"/>
      <c r="M249" s="139"/>
      <c r="N249" s="139"/>
      <c r="O249" s="139"/>
      <c r="P249" s="137"/>
      <c r="Q249" s="137"/>
      <c r="R249" s="138"/>
      <c r="S249" s="137"/>
      <c r="T249" s="137"/>
      <c r="U249" s="137"/>
      <c r="V249" s="137"/>
      <c r="W249" s="139"/>
      <c r="X249" s="139"/>
      <c r="Y249" s="139"/>
      <c r="Z249" s="139"/>
      <c r="AA249" s="139"/>
      <c r="AB249" s="139"/>
      <c r="AC249" s="139"/>
      <c r="AD249" s="139"/>
      <c r="AE249" s="139"/>
      <c r="AF249" s="140"/>
      <c r="AG249" s="140"/>
      <c r="AH249" s="140"/>
      <c r="AI249" s="140"/>
      <c r="AJ249" s="140"/>
      <c r="AK249" s="140"/>
      <c r="AL249" s="140"/>
      <c r="AM249" s="140"/>
      <c r="AN249" s="140"/>
      <c r="AO249" s="140"/>
      <c r="AP249" s="140"/>
      <c r="AQ249" s="140"/>
      <c r="AR249" s="140"/>
      <c r="AS249" s="140"/>
      <c r="AT249" s="140"/>
      <c r="AU249" s="140"/>
      <c r="AV249" s="140"/>
      <c r="AW249" s="140"/>
      <c r="AX249" s="140"/>
      <c r="AY249" s="140"/>
      <c r="AZ249" s="140"/>
      <c r="BA249" s="140"/>
      <c r="BB249" s="140"/>
      <c r="BC249" s="140"/>
      <c r="BD249" s="140"/>
      <c r="BE249" s="140"/>
    </row>
    <row r="250" s="119" customFormat="1" ht="72" customHeight="1" outlineLevel="2" spans="1:57">
      <c r="A250" s="162">
        <f t="shared" ref="A250:A258" si="63">1+N(A249)</f>
        <v>1</v>
      </c>
      <c r="B250" s="164" t="s">
        <v>74</v>
      </c>
      <c r="C250" s="15" t="s">
        <v>75</v>
      </c>
      <c r="D250" s="142" t="s">
        <v>63</v>
      </c>
      <c r="E250" s="143">
        <v>8.161</v>
      </c>
      <c r="F250" s="143">
        <f>$F$13</f>
        <v>95</v>
      </c>
      <c r="G250" s="143">
        <f>$G$13</f>
        <v>813.75</v>
      </c>
      <c r="H250" s="143">
        <f>$H$13</f>
        <v>18.3</v>
      </c>
      <c r="I250" s="17">
        <f t="shared" ref="I250:I258" si="64">(F250+G250+H250)*$I$3</f>
        <v>92.705</v>
      </c>
      <c r="J250" s="18">
        <f t="shared" ref="J250:J258" si="65">ROUND(SUM(F250:I250),2)</f>
        <v>1019.76</v>
      </c>
      <c r="K250" s="19">
        <f t="shared" ref="K250:K258" si="66">ROUND(J250*E250,2)</f>
        <v>8322.26</v>
      </c>
      <c r="L250" s="135"/>
      <c r="M250" s="139">
        <v>1</v>
      </c>
      <c r="N250" s="139"/>
      <c r="O250" s="139"/>
      <c r="P250" s="37">
        <f t="shared" ref="P250:P258" si="67">Q250+Q250*R250+S250+T250+U250</f>
        <v>927.05</v>
      </c>
      <c r="Q250" s="99">
        <f>$Q$13</f>
        <v>775</v>
      </c>
      <c r="R250" s="163">
        <f>$R$13</f>
        <v>0.05</v>
      </c>
      <c r="S250" s="99">
        <f>$S$13</f>
        <v>95</v>
      </c>
      <c r="T250" s="99">
        <f>$T$13</f>
        <v>16.8</v>
      </c>
      <c r="U250" s="99">
        <f>$U$13</f>
        <v>1.5</v>
      </c>
      <c r="V250" s="37">
        <f t="shared" ref="V250:V258" si="68">P250*E250</f>
        <v>7565.65505</v>
      </c>
      <c r="W250" s="139"/>
      <c r="X250" s="139"/>
      <c r="Y250" s="139"/>
      <c r="Z250" s="139"/>
      <c r="AA250" s="139"/>
      <c r="AB250" s="139"/>
      <c r="AC250" s="139"/>
      <c r="AD250" s="139"/>
      <c r="AE250" s="139"/>
      <c r="AF250" s="140"/>
      <c r="AG250" s="140"/>
      <c r="AH250" s="140"/>
      <c r="AI250" s="140"/>
      <c r="AJ250" s="140"/>
      <c r="AK250" s="140"/>
      <c r="AL250" s="140"/>
      <c r="AM250" s="140"/>
      <c r="AN250" s="140"/>
      <c r="AO250" s="140"/>
      <c r="AP250" s="140"/>
      <c r="AQ250" s="140"/>
      <c r="AR250" s="140"/>
      <c r="AS250" s="140"/>
      <c r="AT250" s="140"/>
      <c r="AU250" s="140"/>
      <c r="AV250" s="140"/>
      <c r="AW250" s="140"/>
      <c r="AX250" s="140"/>
      <c r="AY250" s="140"/>
      <c r="AZ250" s="140"/>
      <c r="BA250" s="140"/>
      <c r="BB250" s="140"/>
      <c r="BC250" s="140"/>
      <c r="BD250" s="140"/>
      <c r="BE250" s="140"/>
    </row>
    <row r="251" s="119" customFormat="1" ht="96" customHeight="1" outlineLevel="2" spans="1:57">
      <c r="A251" s="162">
        <f t="shared" si="63"/>
        <v>2</v>
      </c>
      <c r="B251" s="165" t="s">
        <v>76</v>
      </c>
      <c r="C251" s="166" t="s">
        <v>77</v>
      </c>
      <c r="D251" s="142" t="s">
        <v>63</v>
      </c>
      <c r="E251" s="143">
        <f>38.754+0.727</f>
        <v>39.481</v>
      </c>
      <c r="F251" s="143">
        <f>$F$14</f>
        <v>145</v>
      </c>
      <c r="G251" s="143">
        <f>$G$14</f>
        <v>651</v>
      </c>
      <c r="H251" s="143">
        <f>$H$14</f>
        <v>113.55</v>
      </c>
      <c r="I251" s="17">
        <f t="shared" si="64"/>
        <v>90.955</v>
      </c>
      <c r="J251" s="18">
        <f t="shared" si="65"/>
        <v>1000.51</v>
      </c>
      <c r="K251" s="19">
        <f t="shared" si="66"/>
        <v>39501.14</v>
      </c>
      <c r="L251" s="135"/>
      <c r="M251" s="139">
        <v>1</v>
      </c>
      <c r="N251" s="139"/>
      <c r="O251" s="139"/>
      <c r="P251" s="37">
        <f t="shared" si="67"/>
        <v>909.55</v>
      </c>
      <c r="Q251" s="99">
        <f>$Q$14</f>
        <v>620</v>
      </c>
      <c r="R251" s="163">
        <f>$R$14</f>
        <v>0.05</v>
      </c>
      <c r="S251" s="99">
        <f>$S$14</f>
        <v>145</v>
      </c>
      <c r="T251" s="99">
        <f>$T$14</f>
        <v>111.75</v>
      </c>
      <c r="U251" s="99">
        <f>$U$14</f>
        <v>1.8</v>
      </c>
      <c r="V251" s="37">
        <f t="shared" si="68"/>
        <v>35909.94355</v>
      </c>
      <c r="W251" s="139"/>
      <c r="X251" s="139"/>
      <c r="Y251" s="139"/>
      <c r="Z251" s="139"/>
      <c r="AA251" s="139"/>
      <c r="AB251" s="139"/>
      <c r="AC251" s="139"/>
      <c r="AD251" s="139"/>
      <c r="AE251" s="139"/>
      <c r="AF251" s="140"/>
      <c r="AG251" s="140"/>
      <c r="AH251" s="140"/>
      <c r="AI251" s="140"/>
      <c r="AJ251" s="140"/>
      <c r="AK251" s="140"/>
      <c r="AL251" s="140"/>
      <c r="AM251" s="140"/>
      <c r="AN251" s="140"/>
      <c r="AO251" s="140"/>
      <c r="AP251" s="140"/>
      <c r="AQ251" s="140"/>
      <c r="AR251" s="140"/>
      <c r="AS251" s="140"/>
      <c r="AT251" s="140"/>
      <c r="AU251" s="140"/>
      <c r="AV251" s="140"/>
      <c r="AW251" s="140"/>
      <c r="AX251" s="140"/>
      <c r="AY251" s="140"/>
      <c r="AZ251" s="140"/>
      <c r="BA251" s="140"/>
      <c r="BB251" s="140"/>
      <c r="BC251" s="140"/>
      <c r="BD251" s="140"/>
      <c r="BE251" s="140"/>
    </row>
    <row r="252" s="119" customFormat="1" ht="48" customHeight="1" outlineLevel="2" spans="1:57">
      <c r="A252" s="162">
        <f t="shared" si="63"/>
        <v>3</v>
      </c>
      <c r="B252" s="165" t="s">
        <v>84</v>
      </c>
      <c r="C252" s="166" t="s">
        <v>83</v>
      </c>
      <c r="D252" s="165" t="s">
        <v>63</v>
      </c>
      <c r="E252" s="143">
        <f>0.296*3*2*2</f>
        <v>3.552</v>
      </c>
      <c r="F252" s="143">
        <f>$F$18</f>
        <v>110</v>
      </c>
      <c r="G252" s="143">
        <f>$G$18</f>
        <v>454.5</v>
      </c>
      <c r="H252" s="143">
        <f>$H$18</f>
        <v>55.2</v>
      </c>
      <c r="I252" s="17">
        <f t="shared" si="64"/>
        <v>61.97</v>
      </c>
      <c r="J252" s="18">
        <f t="shared" si="65"/>
        <v>681.67</v>
      </c>
      <c r="K252" s="19">
        <f t="shared" si="66"/>
        <v>2421.29</v>
      </c>
      <c r="L252" s="135"/>
      <c r="M252" s="139">
        <v>1</v>
      </c>
      <c r="N252" s="139"/>
      <c r="O252" s="139"/>
      <c r="P252" s="37">
        <f t="shared" si="67"/>
        <v>619.7</v>
      </c>
      <c r="Q252" s="99">
        <f>$Q$18</f>
        <v>450</v>
      </c>
      <c r="R252" s="163">
        <f>$R$18</f>
        <v>0.01</v>
      </c>
      <c r="S252" s="99">
        <f>$S$18</f>
        <v>110</v>
      </c>
      <c r="T252" s="99">
        <f>$T$18</f>
        <v>54</v>
      </c>
      <c r="U252" s="99">
        <f>$U$18</f>
        <v>1.2</v>
      </c>
      <c r="V252" s="37">
        <f t="shared" si="68"/>
        <v>2201.1744</v>
      </c>
      <c r="W252" s="139"/>
      <c r="X252" s="139"/>
      <c r="Y252" s="139"/>
      <c r="Z252" s="139"/>
      <c r="AA252" s="139"/>
      <c r="AB252" s="139"/>
      <c r="AC252" s="139"/>
      <c r="AD252" s="139"/>
      <c r="AE252" s="139"/>
      <c r="AF252" s="140"/>
      <c r="AG252" s="140"/>
      <c r="AH252" s="140"/>
      <c r="AI252" s="140"/>
      <c r="AJ252" s="140"/>
      <c r="AK252" s="140"/>
      <c r="AL252" s="140"/>
      <c r="AM252" s="140"/>
      <c r="AN252" s="140"/>
      <c r="AO252" s="140"/>
      <c r="AP252" s="140"/>
      <c r="AQ252" s="140"/>
      <c r="AR252" s="140"/>
      <c r="AS252" s="140"/>
      <c r="AT252" s="140"/>
      <c r="AU252" s="140"/>
      <c r="AV252" s="140"/>
      <c r="AW252" s="140"/>
      <c r="AX252" s="140"/>
      <c r="AY252" s="140"/>
      <c r="AZ252" s="140"/>
      <c r="BA252" s="140"/>
      <c r="BB252" s="140"/>
      <c r="BC252" s="140"/>
      <c r="BD252" s="140"/>
      <c r="BE252" s="140"/>
    </row>
    <row r="253" s="119" customFormat="1" ht="60" customHeight="1" outlineLevel="2" spans="1:57">
      <c r="A253" s="162">
        <f t="shared" si="63"/>
        <v>4</v>
      </c>
      <c r="B253" s="165" t="s">
        <v>85</v>
      </c>
      <c r="C253" s="166" t="s">
        <v>86</v>
      </c>
      <c r="D253" s="165" t="s">
        <v>63</v>
      </c>
      <c r="E253" s="143">
        <f>+(0.061+0.72+0.114+0.074)*0.95*2</f>
        <v>1.8411</v>
      </c>
      <c r="F253" s="143">
        <f>$F$19</f>
        <v>110</v>
      </c>
      <c r="G253" s="143">
        <f>$G$19</f>
        <v>454.5</v>
      </c>
      <c r="H253" s="143">
        <f>$H$19</f>
        <v>55.2</v>
      </c>
      <c r="I253" s="17">
        <f t="shared" si="64"/>
        <v>61.97</v>
      </c>
      <c r="J253" s="18">
        <f t="shared" si="65"/>
        <v>681.67</v>
      </c>
      <c r="K253" s="19">
        <f t="shared" si="66"/>
        <v>1255.02</v>
      </c>
      <c r="L253" s="135"/>
      <c r="M253" s="139">
        <v>1</v>
      </c>
      <c r="N253" s="139"/>
      <c r="O253" s="139"/>
      <c r="P253" s="37">
        <f t="shared" si="67"/>
        <v>619.7</v>
      </c>
      <c r="Q253" s="99">
        <f>$Q$19</f>
        <v>450</v>
      </c>
      <c r="R253" s="163">
        <f>$R$19</f>
        <v>0.01</v>
      </c>
      <c r="S253" s="99">
        <f>$S$19</f>
        <v>110</v>
      </c>
      <c r="T253" s="99">
        <f>$T$19</f>
        <v>54</v>
      </c>
      <c r="U253" s="99">
        <f>$U$19</f>
        <v>1.2</v>
      </c>
      <c r="V253" s="37">
        <f t="shared" si="68"/>
        <v>1140.92967</v>
      </c>
      <c r="W253" s="139"/>
      <c r="X253" s="139"/>
      <c r="Y253" s="139"/>
      <c r="Z253" s="139"/>
      <c r="AA253" s="139"/>
      <c r="AB253" s="139"/>
      <c r="AC253" s="139"/>
      <c r="AD253" s="139"/>
      <c r="AE253" s="139"/>
      <c r="AF253" s="140"/>
      <c r="AG253" s="140"/>
      <c r="AH253" s="140"/>
      <c r="AI253" s="140"/>
      <c r="AJ253" s="140"/>
      <c r="AK253" s="140"/>
      <c r="AL253" s="140"/>
      <c r="AM253" s="140"/>
      <c r="AN253" s="140"/>
      <c r="AO253" s="140"/>
      <c r="AP253" s="140"/>
      <c r="AQ253" s="140"/>
      <c r="AR253" s="140"/>
      <c r="AS253" s="140"/>
      <c r="AT253" s="140"/>
      <c r="AU253" s="140"/>
      <c r="AV253" s="140"/>
      <c r="AW253" s="140"/>
      <c r="AX253" s="140"/>
      <c r="AY253" s="140"/>
      <c r="AZ253" s="140"/>
      <c r="BA253" s="140"/>
      <c r="BB253" s="140"/>
      <c r="BC253" s="140"/>
      <c r="BD253" s="140"/>
      <c r="BE253" s="140"/>
    </row>
    <row r="254" s="119" customFormat="1" ht="48" customHeight="1" outlineLevel="2" spans="1:57">
      <c r="A254" s="162">
        <f t="shared" si="63"/>
        <v>5</v>
      </c>
      <c r="B254" s="165" t="s">
        <v>87</v>
      </c>
      <c r="C254" s="166" t="s">
        <v>88</v>
      </c>
      <c r="D254" s="165" t="s">
        <v>63</v>
      </c>
      <c r="E254" s="143">
        <v>0.252</v>
      </c>
      <c r="F254" s="143">
        <f>$F$20</f>
        <v>110</v>
      </c>
      <c r="G254" s="143">
        <f>$G$20</f>
        <v>454.5</v>
      </c>
      <c r="H254" s="143">
        <f>$H$20</f>
        <v>55.2</v>
      </c>
      <c r="I254" s="17">
        <f t="shared" si="64"/>
        <v>61.97</v>
      </c>
      <c r="J254" s="18">
        <f t="shared" si="65"/>
        <v>681.67</v>
      </c>
      <c r="K254" s="19">
        <f t="shared" si="66"/>
        <v>171.78</v>
      </c>
      <c r="L254" s="135"/>
      <c r="M254" s="139">
        <v>1</v>
      </c>
      <c r="N254" s="139"/>
      <c r="O254" s="139"/>
      <c r="P254" s="37">
        <f t="shared" si="67"/>
        <v>619.7</v>
      </c>
      <c r="Q254" s="99">
        <f>$Q$20</f>
        <v>450</v>
      </c>
      <c r="R254" s="163">
        <f>$R$20</f>
        <v>0.01</v>
      </c>
      <c r="S254" s="99">
        <f>$S$20</f>
        <v>110</v>
      </c>
      <c r="T254" s="99">
        <f>$T$20</f>
        <v>54</v>
      </c>
      <c r="U254" s="99">
        <f>$U$20</f>
        <v>1.2</v>
      </c>
      <c r="V254" s="37">
        <f t="shared" si="68"/>
        <v>156.1644</v>
      </c>
      <c r="W254" s="139"/>
      <c r="X254" s="139"/>
      <c r="Y254" s="139"/>
      <c r="Z254" s="139"/>
      <c r="AA254" s="139"/>
      <c r="AB254" s="139"/>
      <c r="AC254" s="139"/>
      <c r="AD254" s="139"/>
      <c r="AE254" s="139"/>
      <c r="AF254" s="140"/>
      <c r="AG254" s="140"/>
      <c r="AH254" s="140"/>
      <c r="AI254" s="140"/>
      <c r="AJ254" s="140"/>
      <c r="AK254" s="140"/>
      <c r="AL254" s="140"/>
      <c r="AM254" s="140"/>
      <c r="AN254" s="140"/>
      <c r="AO254" s="140"/>
      <c r="AP254" s="140"/>
      <c r="AQ254" s="140"/>
      <c r="AR254" s="140"/>
      <c r="AS254" s="140"/>
      <c r="AT254" s="140"/>
      <c r="AU254" s="140"/>
      <c r="AV254" s="140"/>
      <c r="AW254" s="140"/>
      <c r="AX254" s="140"/>
      <c r="AY254" s="140"/>
      <c r="AZ254" s="140"/>
      <c r="BA254" s="140"/>
      <c r="BB254" s="140"/>
      <c r="BC254" s="140"/>
      <c r="BD254" s="140"/>
      <c r="BE254" s="140"/>
    </row>
    <row r="255" s="119" customFormat="1" ht="48" customHeight="1" outlineLevel="2" spans="1:57">
      <c r="A255" s="162">
        <f t="shared" si="63"/>
        <v>6</v>
      </c>
      <c r="B255" s="165" t="s">
        <v>91</v>
      </c>
      <c r="C255" s="166" t="s">
        <v>92</v>
      </c>
      <c r="D255" s="165" t="s">
        <v>70</v>
      </c>
      <c r="E255" s="143">
        <v>16.297</v>
      </c>
      <c r="F255" s="143">
        <f>$F$22</f>
        <v>12</v>
      </c>
      <c r="G255" s="143">
        <f>$G$22</f>
        <v>25.75</v>
      </c>
      <c r="H255" s="143">
        <f>$H$22</f>
        <v>3.8</v>
      </c>
      <c r="I255" s="17">
        <f t="shared" si="64"/>
        <v>4.155</v>
      </c>
      <c r="J255" s="18">
        <f t="shared" si="65"/>
        <v>45.71</v>
      </c>
      <c r="K255" s="19">
        <f t="shared" si="66"/>
        <v>744.94</v>
      </c>
      <c r="L255" s="135"/>
      <c r="M255" s="139">
        <v>1</v>
      </c>
      <c r="N255" s="139"/>
      <c r="O255" s="139"/>
      <c r="P255" s="37">
        <f t="shared" si="67"/>
        <v>41.55</v>
      </c>
      <c r="Q255" s="99">
        <f>$Q$22</f>
        <v>25</v>
      </c>
      <c r="R255" s="163">
        <f>$R$22</f>
        <v>0.03</v>
      </c>
      <c r="S255" s="99">
        <f>$S$22</f>
        <v>12</v>
      </c>
      <c r="T255" s="99">
        <f>$T$22</f>
        <v>3.5</v>
      </c>
      <c r="U255" s="99">
        <f>$U$22</f>
        <v>0.3</v>
      </c>
      <c r="V255" s="37">
        <f t="shared" si="68"/>
        <v>677.14035</v>
      </c>
      <c r="W255" s="139"/>
      <c r="X255" s="139"/>
      <c r="Y255" s="139"/>
      <c r="Z255" s="139"/>
      <c r="AA255" s="139"/>
      <c r="AB255" s="139"/>
      <c r="AC255" s="139"/>
      <c r="AD255" s="139"/>
      <c r="AE255" s="139"/>
      <c r="AF255" s="140"/>
      <c r="AG255" s="140"/>
      <c r="AH255" s="140"/>
      <c r="AI255" s="140"/>
      <c r="AJ255" s="140"/>
      <c r="AK255" s="140"/>
      <c r="AL255" s="140"/>
      <c r="AM255" s="140"/>
      <c r="AN255" s="140"/>
      <c r="AO255" s="140"/>
      <c r="AP255" s="140"/>
      <c r="AQ255" s="140"/>
      <c r="AR255" s="140"/>
      <c r="AS255" s="140"/>
      <c r="AT255" s="140"/>
      <c r="AU255" s="140"/>
      <c r="AV255" s="140"/>
      <c r="AW255" s="140"/>
      <c r="AX255" s="140"/>
      <c r="AY255" s="140"/>
      <c r="AZ255" s="140"/>
      <c r="BA255" s="140"/>
      <c r="BB255" s="140"/>
      <c r="BC255" s="140"/>
      <c r="BD255" s="140"/>
      <c r="BE255" s="140"/>
    </row>
    <row r="256" s="119" customFormat="1" ht="36" customHeight="1" outlineLevel="2" spans="1:57">
      <c r="A256" s="162">
        <f t="shared" si="63"/>
        <v>7</v>
      </c>
      <c r="B256" s="165" t="s">
        <v>93</v>
      </c>
      <c r="C256" s="166" t="s">
        <v>94</v>
      </c>
      <c r="D256" s="165" t="s">
        <v>70</v>
      </c>
      <c r="E256" s="143">
        <f>0.17*2</f>
        <v>0.34</v>
      </c>
      <c r="F256" s="143">
        <f>$F$23</f>
        <v>12</v>
      </c>
      <c r="G256" s="143">
        <f>$G$23</f>
        <v>30.385</v>
      </c>
      <c r="H256" s="143">
        <f>$H$23</f>
        <v>3.8</v>
      </c>
      <c r="I256" s="17">
        <f t="shared" si="64"/>
        <v>4.6185</v>
      </c>
      <c r="J256" s="18">
        <f t="shared" si="65"/>
        <v>50.8</v>
      </c>
      <c r="K256" s="19">
        <f t="shared" si="66"/>
        <v>17.27</v>
      </c>
      <c r="L256" s="135"/>
      <c r="M256" s="139">
        <v>1</v>
      </c>
      <c r="N256" s="139"/>
      <c r="O256" s="139"/>
      <c r="P256" s="37">
        <f t="shared" si="67"/>
        <v>46.185</v>
      </c>
      <c r="Q256" s="99">
        <f>$Q$23</f>
        <v>29.5</v>
      </c>
      <c r="R256" s="163">
        <f>$R$23</f>
        <v>0.03</v>
      </c>
      <c r="S256" s="99">
        <f>$S$23</f>
        <v>12</v>
      </c>
      <c r="T256" s="99">
        <f>$T$23</f>
        <v>3.5</v>
      </c>
      <c r="U256" s="99">
        <f>$U$23</f>
        <v>0.3</v>
      </c>
      <c r="V256" s="37">
        <f t="shared" si="68"/>
        <v>15.7029</v>
      </c>
      <c r="W256" s="139"/>
      <c r="X256" s="139"/>
      <c r="Y256" s="139"/>
      <c r="Z256" s="139"/>
      <c r="AA256" s="139"/>
      <c r="AB256" s="139"/>
      <c r="AC256" s="139"/>
      <c r="AD256" s="139"/>
      <c r="AE256" s="139"/>
      <c r="AF256" s="140"/>
      <c r="AG256" s="140"/>
      <c r="AH256" s="140"/>
      <c r="AI256" s="140"/>
      <c r="AJ256" s="140"/>
      <c r="AK256" s="140"/>
      <c r="AL256" s="140"/>
      <c r="AM256" s="140"/>
      <c r="AN256" s="140"/>
      <c r="AO256" s="140"/>
      <c r="AP256" s="140"/>
      <c r="AQ256" s="140"/>
      <c r="AR256" s="140"/>
      <c r="AS256" s="140"/>
      <c r="AT256" s="140"/>
      <c r="AU256" s="140"/>
      <c r="AV256" s="140"/>
      <c r="AW256" s="140"/>
      <c r="AX256" s="140"/>
      <c r="AY256" s="140"/>
      <c r="AZ256" s="140"/>
      <c r="BA256" s="140"/>
      <c r="BB256" s="140"/>
      <c r="BC256" s="140"/>
      <c r="BD256" s="140"/>
      <c r="BE256" s="140"/>
    </row>
    <row r="257" s="119" customFormat="1" ht="48" customHeight="1" outlineLevel="2" spans="1:57">
      <c r="A257" s="162">
        <f t="shared" si="63"/>
        <v>8</v>
      </c>
      <c r="B257" s="165" t="s">
        <v>97</v>
      </c>
      <c r="C257" s="166" t="s">
        <v>98</v>
      </c>
      <c r="D257" s="165" t="s">
        <v>70</v>
      </c>
      <c r="E257" s="143">
        <v>14.44</v>
      </c>
      <c r="F257" s="143">
        <f>$F$25</f>
        <v>22</v>
      </c>
      <c r="G257" s="143">
        <f>$G$25</f>
        <v>58.195</v>
      </c>
      <c r="H257" s="143">
        <f>$H$25</f>
        <v>6.3</v>
      </c>
      <c r="I257" s="17">
        <f t="shared" si="64"/>
        <v>8.6495</v>
      </c>
      <c r="J257" s="18">
        <f t="shared" si="65"/>
        <v>95.14</v>
      </c>
      <c r="K257" s="19">
        <f t="shared" si="66"/>
        <v>1373.82</v>
      </c>
      <c r="L257" s="135"/>
      <c r="M257" s="139">
        <v>1</v>
      </c>
      <c r="N257" s="139"/>
      <c r="O257" s="139"/>
      <c r="P257" s="37">
        <f t="shared" si="67"/>
        <v>86.495</v>
      </c>
      <c r="Q257" s="99">
        <f>$Q$25</f>
        <v>56.5</v>
      </c>
      <c r="R257" s="163">
        <f>$R$25</f>
        <v>0.03</v>
      </c>
      <c r="S257" s="99">
        <f>$S$25</f>
        <v>22</v>
      </c>
      <c r="T257" s="99">
        <f>$T$25</f>
        <v>6</v>
      </c>
      <c r="U257" s="99">
        <f>$U$25</f>
        <v>0.3</v>
      </c>
      <c r="V257" s="37">
        <f t="shared" si="68"/>
        <v>1248.9878</v>
      </c>
      <c r="W257" s="139"/>
      <c r="X257" s="139"/>
      <c r="Y257" s="139"/>
      <c r="Z257" s="139"/>
      <c r="AA257" s="139"/>
      <c r="AB257" s="139"/>
      <c r="AC257" s="139"/>
      <c r="AD257" s="139"/>
      <c r="AE257" s="139"/>
      <c r="AF257" s="140"/>
      <c r="AG257" s="140"/>
      <c r="AH257" s="140"/>
      <c r="AI257" s="140"/>
      <c r="AJ257" s="140"/>
      <c r="AK257" s="140"/>
      <c r="AL257" s="140"/>
      <c r="AM257" s="140"/>
      <c r="AN257" s="140"/>
      <c r="AO257" s="140"/>
      <c r="AP257" s="140"/>
      <c r="AQ257" s="140"/>
      <c r="AR257" s="140"/>
      <c r="AS257" s="140"/>
      <c r="AT257" s="140"/>
      <c r="AU257" s="140"/>
      <c r="AV257" s="140"/>
      <c r="AW257" s="140"/>
      <c r="AX257" s="140"/>
      <c r="AY257" s="140"/>
      <c r="AZ257" s="140"/>
      <c r="BA257" s="140"/>
      <c r="BB257" s="140"/>
      <c r="BC257" s="140"/>
      <c r="BD257" s="140"/>
      <c r="BE257" s="140"/>
    </row>
    <row r="258" s="119" customFormat="1" ht="48" customHeight="1" outlineLevel="2" spans="1:57">
      <c r="A258" s="162">
        <f t="shared" si="63"/>
        <v>9</v>
      </c>
      <c r="B258" s="165" t="s">
        <v>99</v>
      </c>
      <c r="C258" s="166" t="s">
        <v>100</v>
      </c>
      <c r="D258" s="165" t="s">
        <v>70</v>
      </c>
      <c r="E258" s="143">
        <v>16.113</v>
      </c>
      <c r="F258" s="143">
        <f>$F$26</f>
        <v>12</v>
      </c>
      <c r="G258" s="143">
        <f>$G$26</f>
        <v>23.4325</v>
      </c>
      <c r="H258" s="143">
        <f>$H$26</f>
        <v>3.8</v>
      </c>
      <c r="I258" s="17">
        <f t="shared" si="64"/>
        <v>3.92325</v>
      </c>
      <c r="J258" s="18">
        <f t="shared" si="65"/>
        <v>43.16</v>
      </c>
      <c r="K258" s="19">
        <f t="shared" si="66"/>
        <v>695.44</v>
      </c>
      <c r="L258" s="135"/>
      <c r="M258" s="139">
        <v>1</v>
      </c>
      <c r="N258" s="139"/>
      <c r="O258" s="139"/>
      <c r="P258" s="37">
        <f t="shared" si="67"/>
        <v>39.2325</v>
      </c>
      <c r="Q258" s="99">
        <f>$Q$26</f>
        <v>22.75</v>
      </c>
      <c r="R258" s="163">
        <f>$R$26</f>
        <v>0.03</v>
      </c>
      <c r="S258" s="99">
        <f>$S$26</f>
        <v>12</v>
      </c>
      <c r="T258" s="99">
        <f>$T$26</f>
        <v>3.5</v>
      </c>
      <c r="U258" s="99">
        <f>$U$26</f>
        <v>0.3</v>
      </c>
      <c r="V258" s="37">
        <f t="shared" si="68"/>
        <v>632.1532725</v>
      </c>
      <c r="W258" s="139"/>
      <c r="X258" s="139"/>
      <c r="Y258" s="139"/>
      <c r="Z258" s="139"/>
      <c r="AA258" s="139"/>
      <c r="AB258" s="139"/>
      <c r="AC258" s="139"/>
      <c r="AD258" s="139"/>
      <c r="AE258" s="139"/>
      <c r="AF258" s="140"/>
      <c r="AG258" s="140"/>
      <c r="AH258" s="140"/>
      <c r="AI258" s="140"/>
      <c r="AJ258" s="140"/>
      <c r="AK258" s="140"/>
      <c r="AL258" s="140"/>
      <c r="AM258" s="140"/>
      <c r="AN258" s="140"/>
      <c r="AO258" s="140"/>
      <c r="AP258" s="140"/>
      <c r="AQ258" s="140"/>
      <c r="AR258" s="140"/>
      <c r="AS258" s="140"/>
      <c r="AT258" s="140"/>
      <c r="AU258" s="140"/>
      <c r="AV258" s="140"/>
      <c r="AW258" s="140"/>
      <c r="AX258" s="140"/>
      <c r="AY258" s="140"/>
      <c r="AZ258" s="140"/>
      <c r="BA258" s="140"/>
      <c r="BB258" s="140"/>
      <c r="BC258" s="140"/>
      <c r="BD258" s="140"/>
      <c r="BE258" s="140"/>
    </row>
    <row r="259" s="119" customFormat="1" ht="24" customHeight="1" outlineLevel="1" spans="1:57">
      <c r="A259" s="141"/>
      <c r="B259" s="14" t="s">
        <v>101</v>
      </c>
      <c r="C259" s="15"/>
      <c r="D259" s="142"/>
      <c r="E259" s="143"/>
      <c r="F259" s="143"/>
      <c r="G259" s="143"/>
      <c r="H259" s="143"/>
      <c r="I259" s="143"/>
      <c r="J259" s="143"/>
      <c r="K259" s="144"/>
      <c r="L259" s="135"/>
      <c r="M259" s="139"/>
      <c r="N259" s="139"/>
      <c r="O259" s="139"/>
      <c r="P259" s="137"/>
      <c r="Q259" s="137"/>
      <c r="R259" s="138"/>
      <c r="S259" s="137"/>
      <c r="T259" s="137"/>
      <c r="U259" s="137"/>
      <c r="V259" s="137"/>
      <c r="W259" s="139"/>
      <c r="X259" s="139"/>
      <c r="Y259" s="139"/>
      <c r="Z259" s="139"/>
      <c r="AA259" s="139"/>
      <c r="AB259" s="139"/>
      <c r="AC259" s="139"/>
      <c r="AD259" s="139"/>
      <c r="AE259" s="139"/>
      <c r="AF259" s="140"/>
      <c r="AG259" s="140"/>
      <c r="AH259" s="140"/>
      <c r="AI259" s="140"/>
      <c r="AJ259" s="140"/>
      <c r="AK259" s="140"/>
      <c r="AL259" s="140"/>
      <c r="AM259" s="140"/>
      <c r="AN259" s="140"/>
      <c r="AO259" s="140"/>
      <c r="AP259" s="140"/>
      <c r="AQ259" s="140"/>
      <c r="AR259" s="140"/>
      <c r="AS259" s="140"/>
      <c r="AT259" s="140"/>
      <c r="AU259" s="140"/>
      <c r="AV259" s="140"/>
      <c r="AW259" s="140"/>
      <c r="AX259" s="140"/>
      <c r="AY259" s="140"/>
      <c r="AZ259" s="140"/>
      <c r="BA259" s="140"/>
      <c r="BB259" s="140"/>
      <c r="BC259" s="140"/>
      <c r="BD259" s="140"/>
      <c r="BE259" s="140"/>
    </row>
    <row r="260" s="119" customFormat="1" ht="96" customHeight="1" outlineLevel="2" spans="1:57">
      <c r="A260" s="162">
        <f>1+N(A259)</f>
        <v>1</v>
      </c>
      <c r="B260" s="14" t="s">
        <v>102</v>
      </c>
      <c r="C260" s="167" t="s">
        <v>103</v>
      </c>
      <c r="D260" s="142" t="s">
        <v>63</v>
      </c>
      <c r="E260" s="143">
        <v>20.4</v>
      </c>
      <c r="F260" s="143">
        <f>$F$28</f>
        <v>70</v>
      </c>
      <c r="G260" s="143">
        <f>$G$28</f>
        <v>0</v>
      </c>
      <c r="H260" s="143">
        <f>$H$28</f>
        <v>66.711</v>
      </c>
      <c r="I260" s="17">
        <f>(F260+G260+H260)*$I$3</f>
        <v>13.6711</v>
      </c>
      <c r="J260" s="18">
        <f>ROUND(SUM(F260:I260),2)</f>
        <v>150.38</v>
      </c>
      <c r="K260" s="19">
        <f>ROUND(J260*E260,2)</f>
        <v>3067.75</v>
      </c>
      <c r="L260" s="135"/>
      <c r="M260" s="139">
        <v>1</v>
      </c>
      <c r="N260" s="139"/>
      <c r="O260" s="139"/>
      <c r="P260" s="37">
        <f>Q260+Q260*R260+S260+T260+U260</f>
        <v>136.711</v>
      </c>
      <c r="Q260" s="99">
        <f>$Q$28</f>
        <v>0</v>
      </c>
      <c r="R260" s="163">
        <f>$R$28</f>
        <v>0.01</v>
      </c>
      <c r="S260" s="99">
        <f>$S$28</f>
        <v>70</v>
      </c>
      <c r="T260" s="99">
        <f>$T$28</f>
        <v>64.711</v>
      </c>
      <c r="U260" s="99">
        <f>$U$28</f>
        <v>2</v>
      </c>
      <c r="V260" s="37">
        <f>P260*E260</f>
        <v>2788.9044</v>
      </c>
      <c r="W260" s="139"/>
      <c r="X260" s="139"/>
      <c r="Y260" s="139"/>
      <c r="Z260" s="139"/>
      <c r="AA260" s="139"/>
      <c r="AB260" s="139"/>
      <c r="AC260" s="139"/>
      <c r="AD260" s="139"/>
      <c r="AE260" s="139"/>
      <c r="AF260" s="140"/>
      <c r="AG260" s="140"/>
      <c r="AH260" s="140"/>
      <c r="AI260" s="140"/>
      <c r="AJ260" s="140"/>
      <c r="AK260" s="140"/>
      <c r="AL260" s="140"/>
      <c r="AM260" s="140"/>
      <c r="AN260" s="140"/>
      <c r="AO260" s="140"/>
      <c r="AP260" s="140"/>
      <c r="AQ260" s="140"/>
      <c r="AR260" s="140"/>
      <c r="AS260" s="140"/>
      <c r="AT260" s="140"/>
      <c r="AU260" s="140"/>
      <c r="AV260" s="140"/>
      <c r="AW260" s="140"/>
      <c r="AX260" s="140"/>
      <c r="AY260" s="140"/>
      <c r="AZ260" s="140"/>
      <c r="BA260" s="140"/>
      <c r="BB260" s="140"/>
      <c r="BC260" s="140"/>
      <c r="BD260" s="140"/>
      <c r="BE260" s="140"/>
    </row>
    <row r="261" s="119" customFormat="1" ht="48" customHeight="1" outlineLevel="2" spans="1:57">
      <c r="A261" s="162">
        <f>1+N(A260)</f>
        <v>2</v>
      </c>
      <c r="B261" s="14" t="s">
        <v>104</v>
      </c>
      <c r="C261" s="167" t="s">
        <v>105</v>
      </c>
      <c r="D261" s="142" t="s">
        <v>70</v>
      </c>
      <c r="E261" s="143">
        <v>12.63</v>
      </c>
      <c r="F261" s="143">
        <f>$F$29</f>
        <v>50</v>
      </c>
      <c r="G261" s="143">
        <f>$G$29</f>
        <v>0</v>
      </c>
      <c r="H261" s="143">
        <f>$H$29</f>
        <v>22.0941</v>
      </c>
      <c r="I261" s="17">
        <f>(F261+G261+H261)*$I$3</f>
        <v>7.20941</v>
      </c>
      <c r="J261" s="18">
        <f>ROUND(SUM(F261:I261),2)</f>
        <v>79.3</v>
      </c>
      <c r="K261" s="19">
        <f>ROUND(J261*E261,2)</f>
        <v>1001.56</v>
      </c>
      <c r="L261" s="135"/>
      <c r="M261" s="139">
        <v>1</v>
      </c>
      <c r="N261" s="139"/>
      <c r="O261" s="139"/>
      <c r="P261" s="37">
        <f>Q261+Q261*R261+S261+T261+U261</f>
        <v>72.0941</v>
      </c>
      <c r="Q261" s="99">
        <f>$Q$29</f>
        <v>0</v>
      </c>
      <c r="R261" s="163">
        <f>$R$29</f>
        <v>0.01</v>
      </c>
      <c r="S261" s="99">
        <f>$S$29</f>
        <v>50</v>
      </c>
      <c r="T261" s="99">
        <f>$T$29</f>
        <v>22.0941</v>
      </c>
      <c r="U261" s="99">
        <f>$U$29</f>
        <v>0</v>
      </c>
      <c r="V261" s="37">
        <f>P261*E261</f>
        <v>910.548483</v>
      </c>
      <c r="W261" s="139"/>
      <c r="X261" s="139"/>
      <c r="Y261" s="139"/>
      <c r="Z261" s="139"/>
      <c r="AA261" s="139"/>
      <c r="AB261" s="139"/>
      <c r="AC261" s="139"/>
      <c r="AD261" s="139"/>
      <c r="AE261" s="139"/>
      <c r="AF261" s="140"/>
      <c r="AG261" s="140"/>
      <c r="AH261" s="140"/>
      <c r="AI261" s="140"/>
      <c r="AJ261" s="140"/>
      <c r="AK261" s="140"/>
      <c r="AL261" s="140"/>
      <c r="AM261" s="140"/>
      <c r="AN261" s="140"/>
      <c r="AO261" s="140"/>
      <c r="AP261" s="140"/>
      <c r="AQ261" s="140"/>
      <c r="AR261" s="140"/>
      <c r="AS261" s="140"/>
      <c r="AT261" s="140"/>
      <c r="AU261" s="140"/>
      <c r="AV261" s="140"/>
      <c r="AW261" s="140"/>
      <c r="AX261" s="140"/>
      <c r="AY261" s="140"/>
      <c r="AZ261" s="140"/>
      <c r="BA261" s="140"/>
      <c r="BB261" s="140"/>
      <c r="BC261" s="140"/>
      <c r="BD261" s="140"/>
      <c r="BE261" s="140"/>
    </row>
    <row r="262" s="119" customFormat="1" ht="48" customHeight="1" outlineLevel="2" spans="1:57">
      <c r="A262" s="162">
        <f>1+N(A261)</f>
        <v>3</v>
      </c>
      <c r="B262" s="14" t="s">
        <v>106</v>
      </c>
      <c r="C262" s="167" t="s">
        <v>107</v>
      </c>
      <c r="D262" s="142" t="s">
        <v>70</v>
      </c>
      <c r="E262" s="143">
        <v>12.63</v>
      </c>
      <c r="F262" s="143">
        <f>$F$30</f>
        <v>18</v>
      </c>
      <c r="G262" s="143">
        <f>$G$30</f>
        <v>163.255</v>
      </c>
      <c r="H262" s="143">
        <f>$H$30</f>
        <v>3.8</v>
      </c>
      <c r="I262" s="17">
        <f>(F262+G262+H262)*$I$3</f>
        <v>18.5055</v>
      </c>
      <c r="J262" s="18">
        <f>ROUND(SUM(F262:I262),2)</f>
        <v>203.56</v>
      </c>
      <c r="K262" s="19">
        <f>ROUND(J262*E262,2)</f>
        <v>2570.96</v>
      </c>
      <c r="L262" s="135"/>
      <c r="M262" s="139">
        <v>1</v>
      </c>
      <c r="N262" s="139"/>
      <c r="O262" s="139"/>
      <c r="P262" s="37">
        <f>Q262+Q262*R262+S262+T262+U262</f>
        <v>185.055</v>
      </c>
      <c r="Q262" s="99">
        <f>$Q$30</f>
        <v>158.5</v>
      </c>
      <c r="R262" s="163">
        <f>$R$30</f>
        <v>0.03</v>
      </c>
      <c r="S262" s="99">
        <f>$S$30</f>
        <v>18</v>
      </c>
      <c r="T262" s="99">
        <f>$T$30</f>
        <v>3.5</v>
      </c>
      <c r="U262" s="99">
        <f>$U$30</f>
        <v>0.3</v>
      </c>
      <c r="V262" s="37">
        <f>P262*E262</f>
        <v>2337.24465</v>
      </c>
      <c r="W262" s="139"/>
      <c r="X262" s="139"/>
      <c r="Y262" s="139"/>
      <c r="Z262" s="139"/>
      <c r="AA262" s="139"/>
      <c r="AB262" s="139"/>
      <c r="AC262" s="139"/>
      <c r="AD262" s="139"/>
      <c r="AE262" s="139"/>
      <c r="AF262" s="140"/>
      <c r="AG262" s="140"/>
      <c r="AH262" s="140"/>
      <c r="AI262" s="140"/>
      <c r="AJ262" s="140"/>
      <c r="AK262" s="140"/>
      <c r="AL262" s="140"/>
      <c r="AM262" s="140"/>
      <c r="AN262" s="140"/>
      <c r="AO262" s="140"/>
      <c r="AP262" s="140"/>
      <c r="AQ262" s="140"/>
      <c r="AR262" s="140"/>
      <c r="AS262" s="140"/>
      <c r="AT262" s="140"/>
      <c r="AU262" s="140"/>
      <c r="AV262" s="140"/>
      <c r="AW262" s="140"/>
      <c r="AX262" s="140"/>
      <c r="AY262" s="140"/>
      <c r="AZ262" s="140"/>
      <c r="BA262" s="140"/>
      <c r="BB262" s="140"/>
      <c r="BC262" s="140"/>
      <c r="BD262" s="140"/>
      <c r="BE262" s="140"/>
    </row>
    <row r="263" s="119" customFormat="1" ht="72" customHeight="1" outlineLevel="2" spans="1:57">
      <c r="A263" s="162">
        <f>1+N(A262)</f>
        <v>4</v>
      </c>
      <c r="B263" s="14" t="s">
        <v>110</v>
      </c>
      <c r="C263" s="167" t="s">
        <v>111</v>
      </c>
      <c r="D263" s="142" t="s">
        <v>63</v>
      </c>
      <c r="E263" s="143">
        <f>20.4+12.63*0.3</f>
        <v>24.189</v>
      </c>
      <c r="F263" s="143">
        <f>$F$32</f>
        <v>45</v>
      </c>
      <c r="G263" s="143">
        <f>$G$32</f>
        <v>85.5</v>
      </c>
      <c r="H263" s="143">
        <f>$H$32</f>
        <v>7.3</v>
      </c>
      <c r="I263" s="17">
        <f>(F263+G263+H263)*$I$3</f>
        <v>13.78</v>
      </c>
      <c r="J263" s="18">
        <f>ROUND(SUM(F263:I263),2)</f>
        <v>151.58</v>
      </c>
      <c r="K263" s="19">
        <f>ROUND(J263*E263,2)</f>
        <v>3666.57</v>
      </c>
      <c r="L263" s="135"/>
      <c r="M263" s="139">
        <v>1</v>
      </c>
      <c r="N263" s="139"/>
      <c r="O263" s="139"/>
      <c r="P263" s="37">
        <f>Q263+Q263*R263+S263+T263+U263</f>
        <v>137.8</v>
      </c>
      <c r="Q263" s="99">
        <f>$Q$32</f>
        <v>85.5</v>
      </c>
      <c r="R263" s="163">
        <f>$R$32</f>
        <v>0</v>
      </c>
      <c r="S263" s="99">
        <f>$S$32</f>
        <v>45</v>
      </c>
      <c r="T263" s="99">
        <f>$T$32</f>
        <v>6.5</v>
      </c>
      <c r="U263" s="99">
        <f>$U$32</f>
        <v>0.8</v>
      </c>
      <c r="V263" s="37">
        <f>P263*E263</f>
        <v>3333.2442</v>
      </c>
      <c r="W263" s="139"/>
      <c r="X263" s="139"/>
      <c r="Y263" s="139"/>
      <c r="Z263" s="139"/>
      <c r="AA263" s="139"/>
      <c r="AB263" s="139"/>
      <c r="AC263" s="139"/>
      <c r="AD263" s="139"/>
      <c r="AE263" s="139"/>
      <c r="AF263" s="140"/>
      <c r="AG263" s="140"/>
      <c r="AH263" s="140"/>
      <c r="AI263" s="140"/>
      <c r="AJ263" s="140"/>
      <c r="AK263" s="140"/>
      <c r="AL263" s="140"/>
      <c r="AM263" s="140"/>
      <c r="AN263" s="140"/>
      <c r="AO263" s="140"/>
      <c r="AP263" s="140"/>
      <c r="AQ263" s="140"/>
      <c r="AR263" s="140"/>
      <c r="AS263" s="140"/>
      <c r="AT263" s="140"/>
      <c r="AU263" s="140"/>
      <c r="AV263" s="140"/>
      <c r="AW263" s="140"/>
      <c r="AX263" s="140"/>
      <c r="AY263" s="140"/>
      <c r="AZ263" s="140"/>
      <c r="BA263" s="140"/>
      <c r="BB263" s="140"/>
      <c r="BC263" s="140"/>
      <c r="BD263" s="140"/>
      <c r="BE263" s="140"/>
    </row>
    <row r="264" s="119" customFormat="1" ht="24" customHeight="1" outlineLevel="1" spans="1:57">
      <c r="A264" s="141"/>
      <c r="B264" s="14" t="s">
        <v>112</v>
      </c>
      <c r="C264" s="15"/>
      <c r="D264" s="142"/>
      <c r="E264" s="143"/>
      <c r="F264" s="143"/>
      <c r="G264" s="143"/>
      <c r="H264" s="143"/>
      <c r="I264" s="143"/>
      <c r="J264" s="143"/>
      <c r="K264" s="144"/>
      <c r="L264" s="135"/>
      <c r="M264" s="139"/>
      <c r="N264" s="139"/>
      <c r="O264" s="139"/>
      <c r="P264" s="137"/>
      <c r="Q264" s="137"/>
      <c r="R264" s="138"/>
      <c r="S264" s="137"/>
      <c r="T264" s="137"/>
      <c r="U264" s="137"/>
      <c r="V264" s="137"/>
      <c r="W264" s="139"/>
      <c r="X264" s="139"/>
      <c r="Y264" s="139"/>
      <c r="Z264" s="139"/>
      <c r="AA264" s="139"/>
      <c r="AB264" s="139"/>
      <c r="AC264" s="139"/>
      <c r="AD264" s="139"/>
      <c r="AE264" s="139"/>
      <c r="AF264" s="140"/>
      <c r="AG264" s="140"/>
      <c r="AH264" s="140"/>
      <c r="AI264" s="140"/>
      <c r="AJ264" s="140"/>
      <c r="AK264" s="140"/>
      <c r="AL264" s="140"/>
      <c r="AM264" s="140"/>
      <c r="AN264" s="140"/>
      <c r="AO264" s="140"/>
      <c r="AP264" s="140"/>
      <c r="AQ264" s="140"/>
      <c r="AR264" s="140"/>
      <c r="AS264" s="140"/>
      <c r="AT264" s="140"/>
      <c r="AU264" s="140"/>
      <c r="AV264" s="140"/>
      <c r="AW264" s="140"/>
      <c r="AX264" s="140"/>
      <c r="AY264" s="140"/>
      <c r="AZ264" s="140"/>
      <c r="BA264" s="140"/>
      <c r="BB264" s="140"/>
      <c r="BC264" s="140"/>
      <c r="BD264" s="140"/>
      <c r="BE264" s="140"/>
    </row>
    <row r="265" s="119" customFormat="1" ht="36" customHeight="1" outlineLevel="2" spans="1:57">
      <c r="A265" s="162">
        <f>1+N(A264)</f>
        <v>1</v>
      </c>
      <c r="B265" s="14" t="s">
        <v>126</v>
      </c>
      <c r="C265" s="15" t="s">
        <v>114</v>
      </c>
      <c r="D265" s="142" t="s">
        <v>63</v>
      </c>
      <c r="E265" s="143">
        <f>0.7*3</f>
        <v>2.1</v>
      </c>
      <c r="F265" s="143">
        <f>$F$60</f>
        <v>165</v>
      </c>
      <c r="G265" s="143">
        <f>$G$60</f>
        <v>85</v>
      </c>
      <c r="H265" s="143">
        <f>$H$60</f>
        <v>355.1744</v>
      </c>
      <c r="I265" s="17">
        <f>(F265+G265+H265)*$I$3</f>
        <v>60.51744</v>
      </c>
      <c r="J265" s="18">
        <f>ROUND(SUM(F265:I265),2)</f>
        <v>665.69</v>
      </c>
      <c r="K265" s="19">
        <f>ROUND(J265*E265,2)</f>
        <v>1397.95</v>
      </c>
      <c r="L265" s="135"/>
      <c r="M265" s="139">
        <v>1</v>
      </c>
      <c r="N265" s="139"/>
      <c r="O265" s="139"/>
      <c r="P265" s="37">
        <f>Q265+Q265*R265+S265+T265+U265</f>
        <v>605.1744</v>
      </c>
      <c r="Q265" s="99">
        <f>$Q$60</f>
        <v>85</v>
      </c>
      <c r="R265" s="163">
        <f>$R$60</f>
        <v>0</v>
      </c>
      <c r="S265" s="99">
        <f>$S$60</f>
        <v>165</v>
      </c>
      <c r="T265" s="99">
        <f>$T$60</f>
        <v>353.6744</v>
      </c>
      <c r="U265" s="99">
        <f>$U$60</f>
        <v>1.5</v>
      </c>
      <c r="V265" s="37">
        <f>P265*E265</f>
        <v>1270.86624</v>
      </c>
      <c r="W265" s="139"/>
      <c r="X265" s="139"/>
      <c r="Y265" s="139"/>
      <c r="Z265" s="139"/>
      <c r="AA265" s="139"/>
      <c r="AB265" s="139"/>
      <c r="AC265" s="139"/>
      <c r="AD265" s="139"/>
      <c r="AE265" s="139"/>
      <c r="AF265" s="140"/>
      <c r="AG265" s="140"/>
      <c r="AH265" s="140"/>
      <c r="AI265" s="140"/>
      <c r="AJ265" s="140"/>
      <c r="AK265" s="140"/>
      <c r="AL265" s="140"/>
      <c r="AM265" s="140"/>
      <c r="AN265" s="140"/>
      <c r="AO265" s="140"/>
      <c r="AP265" s="140"/>
      <c r="AQ265" s="140"/>
      <c r="AR265" s="140"/>
      <c r="AS265" s="140"/>
      <c r="AT265" s="140"/>
      <c r="AU265" s="140"/>
      <c r="AV265" s="140"/>
      <c r="AW265" s="140"/>
      <c r="AX265" s="140"/>
      <c r="AY265" s="140"/>
      <c r="AZ265" s="140"/>
      <c r="BA265" s="140"/>
      <c r="BB265" s="140"/>
      <c r="BC265" s="140"/>
      <c r="BD265" s="140"/>
      <c r="BE265" s="140"/>
    </row>
    <row r="266" s="119" customFormat="1" ht="72" customHeight="1" outlineLevel="2" spans="1:57">
      <c r="A266" s="162">
        <f>1+N(A265)</f>
        <v>2</v>
      </c>
      <c r="B266" s="14" t="s">
        <v>115</v>
      </c>
      <c r="C266" s="166" t="s">
        <v>116</v>
      </c>
      <c r="D266" s="142" t="s">
        <v>63</v>
      </c>
      <c r="E266" s="143">
        <f>2*3</f>
        <v>6</v>
      </c>
      <c r="F266" s="143">
        <f>$F$35</f>
        <v>145</v>
      </c>
      <c r="G266" s="143">
        <f>$G$35</f>
        <v>1650</v>
      </c>
      <c r="H266" s="143">
        <f>$H$35</f>
        <v>31.5</v>
      </c>
      <c r="I266" s="17">
        <f>(F266+G266+H266)*$I$3</f>
        <v>182.65</v>
      </c>
      <c r="J266" s="18">
        <f>ROUND(SUM(F266:I266),2)</f>
        <v>2009.15</v>
      </c>
      <c r="K266" s="19">
        <f>ROUND(J266*E266,2)</f>
        <v>12054.9</v>
      </c>
      <c r="L266" s="135"/>
      <c r="M266" s="139">
        <v>1</v>
      </c>
      <c r="N266" s="139"/>
      <c r="O266" s="139"/>
      <c r="P266" s="37">
        <f>Q266+Q266*R266+S266+T266+U266</f>
        <v>1826.5</v>
      </c>
      <c r="Q266" s="99">
        <f>$Q$35</f>
        <v>1650</v>
      </c>
      <c r="R266" s="163">
        <f>$R$35</f>
        <v>0</v>
      </c>
      <c r="S266" s="99">
        <f>$S$35</f>
        <v>145</v>
      </c>
      <c r="T266" s="99">
        <f>$T$35</f>
        <v>30</v>
      </c>
      <c r="U266" s="99">
        <f>$U$35</f>
        <v>1.5</v>
      </c>
      <c r="V266" s="37">
        <f>P266*E266</f>
        <v>10959</v>
      </c>
      <c r="W266" s="139"/>
      <c r="X266" s="139"/>
      <c r="Y266" s="139"/>
      <c r="Z266" s="139"/>
      <c r="AA266" s="139"/>
      <c r="AB266" s="139"/>
      <c r="AC266" s="139"/>
      <c r="AD266" s="139"/>
      <c r="AE266" s="139"/>
      <c r="AF266" s="140"/>
      <c r="AG266" s="140"/>
      <c r="AH266" s="140"/>
      <c r="AI266" s="140"/>
      <c r="AJ266" s="140"/>
      <c r="AK266" s="140"/>
      <c r="AL266" s="140"/>
      <c r="AM266" s="140"/>
      <c r="AN266" s="140"/>
      <c r="AO266" s="140"/>
      <c r="AP266" s="140"/>
      <c r="AQ266" s="140"/>
      <c r="AR266" s="140"/>
      <c r="AS266" s="140"/>
      <c r="AT266" s="140"/>
      <c r="AU266" s="140"/>
      <c r="AV266" s="140"/>
      <c r="AW266" s="140"/>
      <c r="AX266" s="140"/>
      <c r="AY266" s="140"/>
      <c r="AZ266" s="140"/>
      <c r="BA266" s="140"/>
      <c r="BB266" s="140"/>
      <c r="BC266" s="140"/>
      <c r="BD266" s="140"/>
      <c r="BE266" s="140"/>
    </row>
    <row r="267" s="119" customFormat="1" ht="36" customHeight="1" outlineLevel="2" spans="1:57">
      <c r="A267" s="162">
        <f>1+N(A266)</f>
        <v>3</v>
      </c>
      <c r="B267" s="165" t="s">
        <v>117</v>
      </c>
      <c r="C267" s="166" t="s">
        <v>118</v>
      </c>
      <c r="D267" s="165" t="s">
        <v>63</v>
      </c>
      <c r="E267" s="143">
        <f>1.45*3</f>
        <v>4.35</v>
      </c>
      <c r="F267" s="143">
        <f>$F$36</f>
        <v>110</v>
      </c>
      <c r="G267" s="143">
        <f>$G$36</f>
        <v>419.15</v>
      </c>
      <c r="H267" s="143">
        <f>$H$36</f>
        <v>68.5</v>
      </c>
      <c r="I267" s="17">
        <f>(F267+G267+H267)*$I$3</f>
        <v>59.765</v>
      </c>
      <c r="J267" s="18">
        <f>ROUND(SUM(F267:I267),2)</f>
        <v>657.42</v>
      </c>
      <c r="K267" s="19">
        <f>ROUND(J267*E267,2)</f>
        <v>2859.78</v>
      </c>
      <c r="L267" s="135"/>
      <c r="M267" s="139">
        <v>1</v>
      </c>
      <c r="N267" s="139"/>
      <c r="O267" s="139"/>
      <c r="P267" s="37">
        <f>Q267+Q267*R267+S267+T267+U267</f>
        <v>597.65</v>
      </c>
      <c r="Q267" s="99">
        <f>$Q$36</f>
        <v>415</v>
      </c>
      <c r="R267" s="163">
        <f>$R$36</f>
        <v>0.01</v>
      </c>
      <c r="S267" s="99">
        <f>$S$36</f>
        <v>110</v>
      </c>
      <c r="T267" s="99">
        <f>$T$36</f>
        <v>65</v>
      </c>
      <c r="U267" s="99">
        <f>$U$36</f>
        <v>3.5</v>
      </c>
      <c r="V267" s="37">
        <f>P267*E267</f>
        <v>2599.7775</v>
      </c>
      <c r="W267" s="139"/>
      <c r="X267" s="139"/>
      <c r="Y267" s="139"/>
      <c r="Z267" s="139"/>
      <c r="AA267" s="139"/>
      <c r="AB267" s="139"/>
      <c r="AC267" s="139"/>
      <c r="AD267" s="139"/>
      <c r="AE267" s="139"/>
      <c r="AF267" s="140"/>
      <c r="AG267" s="140"/>
      <c r="AH267" s="140"/>
      <c r="AI267" s="140"/>
      <c r="AJ267" s="140"/>
      <c r="AK267" s="140"/>
      <c r="AL267" s="140"/>
      <c r="AM267" s="140"/>
      <c r="AN267" s="140"/>
      <c r="AO267" s="140"/>
      <c r="AP267" s="140"/>
      <c r="AQ267" s="140"/>
      <c r="AR267" s="140"/>
      <c r="AS267" s="140"/>
      <c r="AT267" s="140"/>
      <c r="AU267" s="140"/>
      <c r="AV267" s="140"/>
      <c r="AW267" s="140"/>
      <c r="AX267" s="140"/>
      <c r="AY267" s="140"/>
      <c r="AZ267" s="140"/>
      <c r="BA267" s="140"/>
      <c r="BB267" s="140"/>
      <c r="BC267" s="140"/>
      <c r="BD267" s="140"/>
      <c r="BE267" s="140"/>
    </row>
    <row r="268" s="119" customFormat="1" ht="24" customHeight="1" outlineLevel="1" spans="1:57">
      <c r="A268" s="132" t="s">
        <v>149</v>
      </c>
      <c r="B268" s="8" t="s">
        <v>206</v>
      </c>
      <c r="C268" s="8"/>
      <c r="D268" s="133"/>
      <c r="E268" s="134"/>
      <c r="F268" s="134"/>
      <c r="G268" s="134"/>
      <c r="H268" s="134"/>
      <c r="I268" s="134"/>
      <c r="J268" s="134"/>
      <c r="K268" s="11"/>
      <c r="L268" s="135"/>
      <c r="M268" s="139"/>
      <c r="N268" s="139"/>
      <c r="O268" s="170" t="str">
        <f>_xlfn.DISPIMG("ID_F477314AC07043CF9B2F8F752891D249",1)</f>
        <v>=DISPIMG("ID_F477314AC07043CF9B2F8F752891D249",1)</v>
      </c>
      <c r="P268" s="137"/>
      <c r="Q268" s="137"/>
      <c r="R268" s="138"/>
      <c r="S268" s="137"/>
      <c r="T268" s="137"/>
      <c r="U268" s="137"/>
      <c r="V268" s="137"/>
      <c r="W268" s="139"/>
      <c r="X268" s="139"/>
      <c r="Y268" s="139"/>
      <c r="Z268" s="139"/>
      <c r="AA268" s="139"/>
      <c r="AB268" s="139"/>
      <c r="AC268" s="139"/>
      <c r="AD268" s="139"/>
      <c r="AE268" s="139"/>
      <c r="AF268" s="140"/>
      <c r="AG268" s="140"/>
      <c r="AH268" s="140"/>
      <c r="AI268" s="140"/>
      <c r="AJ268" s="140"/>
      <c r="AK268" s="140"/>
      <c r="AL268" s="140"/>
      <c r="AM268" s="140"/>
      <c r="AN268" s="140"/>
      <c r="AO268" s="140"/>
      <c r="AP268" s="140"/>
      <c r="AQ268" s="140"/>
      <c r="AR268" s="140"/>
      <c r="AS268" s="140"/>
      <c r="AT268" s="140"/>
      <c r="AU268" s="140"/>
      <c r="AV268" s="140"/>
      <c r="AW268" s="140"/>
      <c r="AX268" s="140"/>
      <c r="AY268" s="140"/>
      <c r="AZ268" s="140"/>
      <c r="BA268" s="140"/>
      <c r="BB268" s="140"/>
      <c r="BC268" s="140"/>
      <c r="BD268" s="140"/>
      <c r="BE268" s="140"/>
    </row>
    <row r="269" s="119" customFormat="1" ht="24" customHeight="1" outlineLevel="1" spans="1:57">
      <c r="A269" s="141"/>
      <c r="B269" s="14" t="s">
        <v>60</v>
      </c>
      <c r="C269" s="15"/>
      <c r="D269" s="142"/>
      <c r="E269" s="143"/>
      <c r="F269" s="143"/>
      <c r="G269" s="143"/>
      <c r="H269" s="143"/>
      <c r="I269" s="143"/>
      <c r="J269" s="143"/>
      <c r="K269" s="144"/>
      <c r="L269" s="135"/>
      <c r="M269" s="139"/>
      <c r="N269" s="139"/>
      <c r="O269" s="139"/>
      <c r="P269" s="137"/>
      <c r="Q269" s="137"/>
      <c r="R269" s="138"/>
      <c r="S269" s="137"/>
      <c r="T269" s="137"/>
      <c r="U269" s="137"/>
      <c r="V269" s="137"/>
      <c r="W269" s="139"/>
      <c r="X269" s="139"/>
      <c r="Y269" s="139"/>
      <c r="Z269" s="139"/>
      <c r="AA269" s="139"/>
      <c r="AB269" s="139"/>
      <c r="AC269" s="139"/>
      <c r="AD269" s="139"/>
      <c r="AE269" s="139"/>
      <c r="AF269" s="140"/>
      <c r="AG269" s="140"/>
      <c r="AH269" s="140"/>
      <c r="AI269" s="140"/>
      <c r="AJ269" s="140"/>
      <c r="AK269" s="140"/>
      <c r="AL269" s="140"/>
      <c r="AM269" s="140"/>
      <c r="AN269" s="140"/>
      <c r="AO269" s="140"/>
      <c r="AP269" s="140"/>
      <c r="AQ269" s="140"/>
      <c r="AR269" s="140"/>
      <c r="AS269" s="140"/>
      <c r="AT269" s="140"/>
      <c r="AU269" s="140"/>
      <c r="AV269" s="140"/>
      <c r="AW269" s="140"/>
      <c r="AX269" s="140"/>
      <c r="AY269" s="140"/>
      <c r="AZ269" s="140"/>
      <c r="BA269" s="140"/>
      <c r="BB269" s="140"/>
      <c r="BC269" s="140"/>
      <c r="BD269" s="140"/>
      <c r="BE269" s="140"/>
    </row>
    <row r="270" s="119" customFormat="1" ht="96" customHeight="1" outlineLevel="2" spans="1:57">
      <c r="A270" s="162">
        <f>1+N(A269)</f>
        <v>1</v>
      </c>
      <c r="B270" s="14" t="s">
        <v>61</v>
      </c>
      <c r="C270" s="15" t="s">
        <v>62</v>
      </c>
      <c r="D270" s="142" t="s">
        <v>63</v>
      </c>
      <c r="E270" s="143">
        <v>46.2</v>
      </c>
      <c r="F270" s="143">
        <f>$F$7</f>
        <v>130</v>
      </c>
      <c r="G270" s="143">
        <f>$G$7</f>
        <v>628.3</v>
      </c>
      <c r="H270" s="17">
        <f>$H$7</f>
        <v>47.7</v>
      </c>
      <c r="I270" s="17">
        <f>(F270+G270+H270)*$I$3</f>
        <v>80.6</v>
      </c>
      <c r="J270" s="18">
        <f>ROUND(SUM(F270:I270),2)</f>
        <v>886.6</v>
      </c>
      <c r="K270" s="19">
        <f>ROUND(J270*E270,2)</f>
        <v>40960.92</v>
      </c>
      <c r="L270" s="135"/>
      <c r="M270" s="139">
        <v>1</v>
      </c>
      <c r="N270" s="139"/>
      <c r="O270" s="139"/>
      <c r="P270" s="37">
        <f>Q270+Q270*R270+S270+T270+U270</f>
        <v>806</v>
      </c>
      <c r="Q270" s="99">
        <f>$Q$7</f>
        <v>610</v>
      </c>
      <c r="R270" s="163">
        <f>$R$7</f>
        <v>0.03</v>
      </c>
      <c r="S270" s="99">
        <f>$S$7</f>
        <v>130</v>
      </c>
      <c r="T270" s="99">
        <f>$T$7</f>
        <v>46.2</v>
      </c>
      <c r="U270" s="99">
        <f>$U$7</f>
        <v>1.5</v>
      </c>
      <c r="V270" s="37">
        <f>P270*E270</f>
        <v>37237.2</v>
      </c>
      <c r="W270" s="139"/>
      <c r="X270" s="139"/>
      <c r="Y270" s="139"/>
      <c r="Z270" s="139"/>
      <c r="AA270" s="139"/>
      <c r="AB270" s="139"/>
      <c r="AC270" s="139"/>
      <c r="AD270" s="139"/>
      <c r="AE270" s="139"/>
      <c r="AF270" s="140"/>
      <c r="AG270" s="140"/>
      <c r="AH270" s="140"/>
      <c r="AI270" s="140"/>
      <c r="AJ270" s="140"/>
      <c r="AK270" s="140"/>
      <c r="AL270" s="140"/>
      <c r="AM270" s="140"/>
      <c r="AN270" s="140"/>
      <c r="AO270" s="140"/>
      <c r="AP270" s="140"/>
      <c r="AQ270" s="140"/>
      <c r="AR270" s="140"/>
      <c r="AS270" s="140"/>
      <c r="AT270" s="140"/>
      <c r="AU270" s="140"/>
      <c r="AV270" s="140"/>
      <c r="AW270" s="140"/>
      <c r="AX270" s="140"/>
      <c r="AY270" s="140"/>
      <c r="AZ270" s="140"/>
      <c r="BA270" s="140"/>
      <c r="BB270" s="140"/>
      <c r="BC270" s="140"/>
      <c r="BD270" s="140"/>
      <c r="BE270" s="140"/>
    </row>
    <row r="271" s="119" customFormat="1" ht="108" customHeight="1" outlineLevel="2" spans="1:57">
      <c r="A271" s="162">
        <f>1+N(A270)</f>
        <v>2</v>
      </c>
      <c r="B271" s="14" t="s">
        <v>121</v>
      </c>
      <c r="C271" s="15" t="s">
        <v>122</v>
      </c>
      <c r="D271" s="142" t="s">
        <v>63</v>
      </c>
      <c r="E271" s="143">
        <v>41.1</v>
      </c>
      <c r="F271" s="143">
        <f>$F$40</f>
        <v>130</v>
      </c>
      <c r="G271" s="143">
        <f>$G$40</f>
        <v>854.9</v>
      </c>
      <c r="H271" s="143">
        <f>$H$40</f>
        <v>47.7</v>
      </c>
      <c r="I271" s="17">
        <f>(F271+G271+H271)*$I$3</f>
        <v>103.26</v>
      </c>
      <c r="J271" s="18">
        <f>ROUND(SUM(F271:I271),2)</f>
        <v>1135.86</v>
      </c>
      <c r="K271" s="19">
        <f>ROUND(J271*E271,2)</f>
        <v>46683.85</v>
      </c>
      <c r="L271" s="135"/>
      <c r="M271" s="139">
        <v>1</v>
      </c>
      <c r="N271" s="139"/>
      <c r="O271" s="139"/>
      <c r="P271" s="37">
        <f>Q271+Q271*R271+S271+T271+U271</f>
        <v>1032.6</v>
      </c>
      <c r="Q271" s="99">
        <f>$Q$40</f>
        <v>830</v>
      </c>
      <c r="R271" s="163">
        <f>$R$40</f>
        <v>0.03</v>
      </c>
      <c r="S271" s="99">
        <f>$S$40</f>
        <v>130</v>
      </c>
      <c r="T271" s="99">
        <f>$T$40</f>
        <v>46.2</v>
      </c>
      <c r="U271" s="99">
        <f>$U$40</f>
        <v>1.5</v>
      </c>
      <c r="V271" s="37">
        <f>P271*E271</f>
        <v>42439.86</v>
      </c>
      <c r="W271" s="139"/>
      <c r="X271" s="139"/>
      <c r="Y271" s="139"/>
      <c r="Z271" s="139"/>
      <c r="AA271" s="139"/>
      <c r="AB271" s="139"/>
      <c r="AC271" s="139"/>
      <c r="AD271" s="139"/>
      <c r="AE271" s="139"/>
      <c r="AF271" s="140"/>
      <c r="AG271" s="140"/>
      <c r="AH271" s="140"/>
      <c r="AI271" s="140"/>
      <c r="AJ271" s="140"/>
      <c r="AK271" s="140"/>
      <c r="AL271" s="140"/>
      <c r="AM271" s="140"/>
      <c r="AN271" s="140"/>
      <c r="AO271" s="140"/>
      <c r="AP271" s="140"/>
      <c r="AQ271" s="140"/>
      <c r="AR271" s="140"/>
      <c r="AS271" s="140"/>
      <c r="AT271" s="140"/>
      <c r="AU271" s="140"/>
      <c r="AV271" s="140"/>
      <c r="AW271" s="140"/>
      <c r="AX271" s="140"/>
      <c r="AY271" s="140"/>
      <c r="AZ271" s="140"/>
      <c r="BA271" s="140"/>
      <c r="BB271" s="140"/>
      <c r="BC271" s="140"/>
      <c r="BD271" s="140"/>
      <c r="BE271" s="140"/>
    </row>
    <row r="272" s="119" customFormat="1" ht="36" customHeight="1" outlineLevel="2" spans="1:57">
      <c r="A272" s="162">
        <f>1+N(A271)</f>
        <v>3</v>
      </c>
      <c r="B272" s="14" t="s">
        <v>68</v>
      </c>
      <c r="C272" s="15" t="s">
        <v>69</v>
      </c>
      <c r="D272" s="142" t="s">
        <v>70</v>
      </c>
      <c r="E272" s="143">
        <v>24.96</v>
      </c>
      <c r="F272" s="143">
        <f>$F$10</f>
        <v>12</v>
      </c>
      <c r="G272" s="143">
        <f>$G$10</f>
        <v>19.57</v>
      </c>
      <c r="H272" s="143">
        <f>$H$10</f>
        <v>0.5</v>
      </c>
      <c r="I272" s="17">
        <f>(F272+G272+H272)*$I$3</f>
        <v>3.207</v>
      </c>
      <c r="J272" s="18">
        <f>ROUND(SUM(F272:I272),2)</f>
        <v>35.28</v>
      </c>
      <c r="K272" s="19">
        <f>ROUND(J272*E272,2)</f>
        <v>880.59</v>
      </c>
      <c r="L272" s="135"/>
      <c r="M272" s="139">
        <v>1</v>
      </c>
      <c r="N272" s="139"/>
      <c r="O272" s="139"/>
      <c r="P272" s="37">
        <f>Q272+Q272*R272+S272+T272+U272</f>
        <v>32.07</v>
      </c>
      <c r="Q272" s="99">
        <f>$Q$10</f>
        <v>19</v>
      </c>
      <c r="R272" s="163">
        <f>$R$10</f>
        <v>0.03</v>
      </c>
      <c r="S272" s="99">
        <f>$S$10</f>
        <v>12</v>
      </c>
      <c r="T272" s="99">
        <f>$T$10</f>
        <v>0.3</v>
      </c>
      <c r="U272" s="99">
        <f>$U$10</f>
        <v>0.2</v>
      </c>
      <c r="V272" s="37">
        <f>P272*E272</f>
        <v>800.4672</v>
      </c>
      <c r="W272" s="139"/>
      <c r="X272" s="139"/>
      <c r="Y272" s="139"/>
      <c r="Z272" s="139"/>
      <c r="AA272" s="139"/>
      <c r="AB272" s="139"/>
      <c r="AC272" s="139"/>
      <c r="AD272" s="139"/>
      <c r="AE272" s="139"/>
      <c r="AF272" s="140"/>
      <c r="AG272" s="140"/>
      <c r="AH272" s="140"/>
      <c r="AI272" s="140"/>
      <c r="AJ272" s="140"/>
      <c r="AK272" s="140"/>
      <c r="AL272" s="140"/>
      <c r="AM272" s="140"/>
      <c r="AN272" s="140"/>
      <c r="AO272" s="140"/>
      <c r="AP272" s="140"/>
      <c r="AQ272" s="140"/>
      <c r="AR272" s="140"/>
      <c r="AS272" s="140"/>
      <c r="AT272" s="140"/>
      <c r="AU272" s="140"/>
      <c r="AV272" s="140"/>
      <c r="AW272" s="140"/>
      <c r="AX272" s="140"/>
      <c r="AY272" s="140"/>
      <c r="AZ272" s="140"/>
      <c r="BA272" s="140"/>
      <c r="BB272" s="140"/>
      <c r="BC272" s="140"/>
      <c r="BD272" s="140"/>
      <c r="BE272" s="140"/>
    </row>
    <row r="273" s="119" customFormat="1" ht="48" customHeight="1" outlineLevel="2" spans="1:57">
      <c r="A273" s="162">
        <f>1+N(A272)</f>
        <v>4</v>
      </c>
      <c r="B273" s="14" t="s">
        <v>71</v>
      </c>
      <c r="C273" s="15" t="s">
        <v>72</v>
      </c>
      <c r="D273" s="142" t="s">
        <v>63</v>
      </c>
      <c r="E273" s="143">
        <v>87.3</v>
      </c>
      <c r="F273" s="143">
        <f>$F$11</f>
        <v>40</v>
      </c>
      <c r="G273" s="143">
        <f>$G$11</f>
        <v>15</v>
      </c>
      <c r="H273" s="143">
        <f>$H$11</f>
        <v>0.8</v>
      </c>
      <c r="I273" s="17">
        <f>(F273+G273+H273)*$I$3</f>
        <v>5.58</v>
      </c>
      <c r="J273" s="18">
        <f>ROUND(SUM(F273:I273),2)</f>
        <v>61.38</v>
      </c>
      <c r="K273" s="19">
        <f>ROUND(J273*E273,2)</f>
        <v>5358.47</v>
      </c>
      <c r="L273" s="135"/>
      <c r="M273" s="139">
        <v>1</v>
      </c>
      <c r="N273" s="139"/>
      <c r="O273" s="139"/>
      <c r="P273" s="37">
        <f>Q273+Q273*R273+S273+T273+U273</f>
        <v>55.8</v>
      </c>
      <c r="Q273" s="99">
        <f>$Q$11</f>
        <v>15</v>
      </c>
      <c r="R273" s="163">
        <f>$R$11</f>
        <v>0</v>
      </c>
      <c r="S273" s="99">
        <f>$S$11</f>
        <v>40</v>
      </c>
      <c r="T273" s="99">
        <f>$T$11</f>
        <v>0.5</v>
      </c>
      <c r="U273" s="99">
        <f>$U$11</f>
        <v>0.3</v>
      </c>
      <c r="V273" s="37">
        <f>P273*E273</f>
        <v>4871.34</v>
      </c>
      <c r="W273" s="139"/>
      <c r="X273" s="139"/>
      <c r="Y273" s="139"/>
      <c r="Z273" s="139"/>
      <c r="AA273" s="139"/>
      <c r="AB273" s="139"/>
      <c r="AC273" s="139"/>
      <c r="AD273" s="139"/>
      <c r="AE273" s="139"/>
      <c r="AF273" s="140"/>
      <c r="AG273" s="140"/>
      <c r="AH273" s="140"/>
      <c r="AI273" s="140"/>
      <c r="AJ273" s="140"/>
      <c r="AK273" s="140"/>
      <c r="AL273" s="140"/>
      <c r="AM273" s="140"/>
      <c r="AN273" s="140"/>
      <c r="AO273" s="140"/>
      <c r="AP273" s="140"/>
      <c r="AQ273" s="140"/>
      <c r="AR273" s="140"/>
      <c r="AS273" s="140"/>
      <c r="AT273" s="140"/>
      <c r="AU273" s="140"/>
      <c r="AV273" s="140"/>
      <c r="AW273" s="140"/>
      <c r="AX273" s="140"/>
      <c r="AY273" s="140"/>
      <c r="AZ273" s="140"/>
      <c r="BA273" s="140"/>
      <c r="BB273" s="140"/>
      <c r="BC273" s="140"/>
      <c r="BD273" s="140"/>
      <c r="BE273" s="140"/>
    </row>
    <row r="274" s="119" customFormat="1" ht="24" customHeight="1" outlineLevel="1" spans="1:57">
      <c r="A274" s="141"/>
      <c r="B274" s="14" t="s">
        <v>73</v>
      </c>
      <c r="C274" s="15"/>
      <c r="D274" s="142"/>
      <c r="E274" s="143"/>
      <c r="F274" s="143"/>
      <c r="G274" s="143"/>
      <c r="H274" s="143"/>
      <c r="I274" s="143"/>
      <c r="J274" s="143"/>
      <c r="K274" s="144"/>
      <c r="L274" s="135"/>
      <c r="M274" s="139"/>
      <c r="N274" s="139"/>
      <c r="O274" s="139"/>
      <c r="P274" s="137"/>
      <c r="Q274" s="137"/>
      <c r="R274" s="138"/>
      <c r="S274" s="137"/>
      <c r="T274" s="137"/>
      <c r="U274" s="137"/>
      <c r="V274" s="137"/>
      <c r="W274" s="139"/>
      <c r="X274" s="139"/>
      <c r="Y274" s="139"/>
      <c r="Z274" s="139"/>
      <c r="AA274" s="139"/>
      <c r="AB274" s="139"/>
      <c r="AC274" s="139"/>
      <c r="AD274" s="139"/>
      <c r="AE274" s="139"/>
      <c r="AF274" s="140"/>
      <c r="AG274" s="140"/>
      <c r="AH274" s="140"/>
      <c r="AI274" s="140"/>
      <c r="AJ274" s="140"/>
      <c r="AK274" s="140"/>
      <c r="AL274" s="140"/>
      <c r="AM274" s="140"/>
      <c r="AN274" s="140"/>
      <c r="AO274" s="140"/>
      <c r="AP274" s="140"/>
      <c r="AQ274" s="140"/>
      <c r="AR274" s="140"/>
      <c r="AS274" s="140"/>
      <c r="AT274" s="140"/>
      <c r="AU274" s="140"/>
      <c r="AV274" s="140"/>
      <c r="AW274" s="140"/>
      <c r="AX274" s="140"/>
      <c r="AY274" s="140"/>
      <c r="AZ274" s="140"/>
      <c r="BA274" s="140"/>
      <c r="BB274" s="140"/>
      <c r="BC274" s="140"/>
      <c r="BD274" s="140"/>
      <c r="BE274" s="140"/>
    </row>
    <row r="275" s="119" customFormat="1" ht="72" customHeight="1" outlineLevel="2" spans="1:57">
      <c r="A275" s="162">
        <f t="shared" ref="A275:A280" si="69">1+N(A274)</f>
        <v>1</v>
      </c>
      <c r="B275" s="164" t="s">
        <v>74</v>
      </c>
      <c r="C275" s="15" t="s">
        <v>75</v>
      </c>
      <c r="D275" s="142" t="s">
        <v>63</v>
      </c>
      <c r="E275" s="143">
        <v>18.676</v>
      </c>
      <c r="F275" s="143">
        <f>$F$13</f>
        <v>95</v>
      </c>
      <c r="G275" s="143">
        <f>$G$13</f>
        <v>813.75</v>
      </c>
      <c r="H275" s="143">
        <f>$H$13</f>
        <v>18.3</v>
      </c>
      <c r="I275" s="17">
        <f t="shared" ref="I275:I280" si="70">(F275+G275+H275)*$I$3</f>
        <v>92.705</v>
      </c>
      <c r="J275" s="18">
        <f t="shared" ref="J275:J280" si="71">ROUND(SUM(F275:I275),2)</f>
        <v>1019.76</v>
      </c>
      <c r="K275" s="19">
        <f t="shared" ref="K275:K280" si="72">ROUND(J275*E275,2)</f>
        <v>19045.04</v>
      </c>
      <c r="L275" s="135"/>
      <c r="M275" s="139">
        <v>1</v>
      </c>
      <c r="N275" s="139"/>
      <c r="O275" s="139"/>
      <c r="P275" s="37">
        <f t="shared" ref="P275:P280" si="73">Q275+Q275*R275+S275+T275+U275</f>
        <v>927.05</v>
      </c>
      <c r="Q275" s="99">
        <f>$Q$13</f>
        <v>775</v>
      </c>
      <c r="R275" s="163">
        <f>$R$13</f>
        <v>0.05</v>
      </c>
      <c r="S275" s="99">
        <f>$S$13</f>
        <v>95</v>
      </c>
      <c r="T275" s="99">
        <f>$T$13</f>
        <v>16.8</v>
      </c>
      <c r="U275" s="99">
        <f>$U$13</f>
        <v>1.5</v>
      </c>
      <c r="V275" s="37">
        <f t="shared" ref="V275:V280" si="74">P275*E275</f>
        <v>17313.5858</v>
      </c>
      <c r="W275" s="139"/>
      <c r="X275" s="139"/>
      <c r="Y275" s="139"/>
      <c r="Z275" s="139"/>
      <c r="AA275" s="139"/>
      <c r="AB275" s="139"/>
      <c r="AC275" s="139"/>
      <c r="AD275" s="139"/>
      <c r="AE275" s="139"/>
      <c r="AF275" s="140"/>
      <c r="AG275" s="140"/>
      <c r="AH275" s="140"/>
      <c r="AI275" s="140"/>
      <c r="AJ275" s="140"/>
      <c r="AK275" s="140"/>
      <c r="AL275" s="140"/>
      <c r="AM275" s="140"/>
      <c r="AN275" s="140"/>
      <c r="AO275" s="140"/>
      <c r="AP275" s="140"/>
      <c r="AQ275" s="140"/>
      <c r="AR275" s="140"/>
      <c r="AS275" s="140"/>
      <c r="AT275" s="140"/>
      <c r="AU275" s="140"/>
      <c r="AV275" s="140"/>
      <c r="AW275" s="140"/>
      <c r="AX275" s="140"/>
      <c r="AY275" s="140"/>
      <c r="AZ275" s="140"/>
      <c r="BA275" s="140"/>
      <c r="BB275" s="140"/>
      <c r="BC275" s="140"/>
      <c r="BD275" s="140"/>
      <c r="BE275" s="140"/>
    </row>
    <row r="276" s="119" customFormat="1" ht="96" customHeight="1" outlineLevel="2" spans="1:57">
      <c r="A276" s="162">
        <f t="shared" si="69"/>
        <v>2</v>
      </c>
      <c r="B276" s="165" t="s">
        <v>76</v>
      </c>
      <c r="C276" s="166" t="s">
        <v>77</v>
      </c>
      <c r="D276" s="142" t="s">
        <v>63</v>
      </c>
      <c r="E276" s="143">
        <v>74.889</v>
      </c>
      <c r="F276" s="143">
        <f>$F$14</f>
        <v>145</v>
      </c>
      <c r="G276" s="143">
        <f>$G$14</f>
        <v>651</v>
      </c>
      <c r="H276" s="143">
        <f>$H$14</f>
        <v>113.55</v>
      </c>
      <c r="I276" s="17">
        <f t="shared" si="70"/>
        <v>90.955</v>
      </c>
      <c r="J276" s="18">
        <f t="shared" si="71"/>
        <v>1000.51</v>
      </c>
      <c r="K276" s="19">
        <f t="shared" si="72"/>
        <v>74927.19</v>
      </c>
      <c r="L276" s="135"/>
      <c r="M276" s="139">
        <v>1</v>
      </c>
      <c r="N276" s="139"/>
      <c r="O276" s="139"/>
      <c r="P276" s="37">
        <f t="shared" si="73"/>
        <v>909.55</v>
      </c>
      <c r="Q276" s="99">
        <f>$Q$14</f>
        <v>620</v>
      </c>
      <c r="R276" s="163">
        <f>$R$14</f>
        <v>0.05</v>
      </c>
      <c r="S276" s="99">
        <f>$S$14</f>
        <v>145</v>
      </c>
      <c r="T276" s="99">
        <f>$T$14</f>
        <v>111.75</v>
      </c>
      <c r="U276" s="99">
        <f>$U$14</f>
        <v>1.8</v>
      </c>
      <c r="V276" s="37">
        <f t="shared" si="74"/>
        <v>68115.28995</v>
      </c>
      <c r="W276" s="139"/>
      <c r="X276" s="139"/>
      <c r="Y276" s="139"/>
      <c r="Z276" s="139"/>
      <c r="AA276" s="139"/>
      <c r="AB276" s="139"/>
      <c r="AC276" s="139"/>
      <c r="AD276" s="139"/>
      <c r="AE276" s="139"/>
      <c r="AF276" s="140"/>
      <c r="AG276" s="140"/>
      <c r="AH276" s="140"/>
      <c r="AI276" s="140"/>
      <c r="AJ276" s="140"/>
      <c r="AK276" s="140"/>
      <c r="AL276" s="140"/>
      <c r="AM276" s="140"/>
      <c r="AN276" s="140"/>
      <c r="AO276" s="140"/>
      <c r="AP276" s="140"/>
      <c r="AQ276" s="140"/>
      <c r="AR276" s="140"/>
      <c r="AS276" s="140"/>
      <c r="AT276" s="140"/>
      <c r="AU276" s="140"/>
      <c r="AV276" s="140"/>
      <c r="AW276" s="140"/>
      <c r="AX276" s="140"/>
      <c r="AY276" s="140"/>
      <c r="AZ276" s="140"/>
      <c r="BA276" s="140"/>
      <c r="BB276" s="140"/>
      <c r="BC276" s="140"/>
      <c r="BD276" s="140"/>
      <c r="BE276" s="140"/>
    </row>
    <row r="277" s="119" customFormat="1" ht="72" customHeight="1" outlineLevel="2" spans="1:57">
      <c r="A277" s="162">
        <f t="shared" si="69"/>
        <v>3</v>
      </c>
      <c r="B277" s="165" t="s">
        <v>80</v>
      </c>
      <c r="C277" s="166" t="s">
        <v>81</v>
      </c>
      <c r="D277" s="165" t="s">
        <v>63</v>
      </c>
      <c r="E277" s="143">
        <v>18.707</v>
      </c>
      <c r="F277" s="143">
        <f>$F$16</f>
        <v>91.5</v>
      </c>
      <c r="G277" s="143">
        <f>$G$16</f>
        <v>5.555</v>
      </c>
      <c r="H277" s="143">
        <f>$H$16</f>
        <v>56.797</v>
      </c>
      <c r="I277" s="17">
        <f t="shared" si="70"/>
        <v>15.3852</v>
      </c>
      <c r="J277" s="18">
        <f t="shared" si="71"/>
        <v>169.24</v>
      </c>
      <c r="K277" s="19">
        <f t="shared" si="72"/>
        <v>3165.97</v>
      </c>
      <c r="L277" s="135"/>
      <c r="M277" s="139">
        <v>1</v>
      </c>
      <c r="N277" s="139"/>
      <c r="O277" s="139"/>
      <c r="P277" s="37">
        <f t="shared" si="73"/>
        <v>153.852</v>
      </c>
      <c r="Q277" s="99">
        <f>$Q$16</f>
        <v>5.5</v>
      </c>
      <c r="R277" s="163">
        <f>$R$16</f>
        <v>0.01</v>
      </c>
      <c r="S277" s="99">
        <f>$S$16</f>
        <v>91.5</v>
      </c>
      <c r="T277" s="99">
        <f>$T$16</f>
        <v>55.997</v>
      </c>
      <c r="U277" s="99">
        <f>$U$16</f>
        <v>0.8</v>
      </c>
      <c r="V277" s="37">
        <f t="shared" si="74"/>
        <v>2878.109364</v>
      </c>
      <c r="W277" s="139"/>
      <c r="X277" s="139"/>
      <c r="Y277" s="139"/>
      <c r="Z277" s="139"/>
      <c r="AA277" s="139"/>
      <c r="AB277" s="139"/>
      <c r="AC277" s="139"/>
      <c r="AD277" s="139"/>
      <c r="AE277" s="139"/>
      <c r="AF277" s="140"/>
      <c r="AG277" s="140"/>
      <c r="AH277" s="140"/>
      <c r="AI277" s="140"/>
      <c r="AJ277" s="140"/>
      <c r="AK277" s="140"/>
      <c r="AL277" s="140"/>
      <c r="AM277" s="140"/>
      <c r="AN277" s="140"/>
      <c r="AO277" s="140"/>
      <c r="AP277" s="140"/>
      <c r="AQ277" s="140"/>
      <c r="AR277" s="140"/>
      <c r="AS277" s="140"/>
      <c r="AT277" s="140"/>
      <c r="AU277" s="140"/>
      <c r="AV277" s="140"/>
      <c r="AW277" s="140"/>
      <c r="AX277" s="140"/>
      <c r="AY277" s="140"/>
      <c r="AZ277" s="140"/>
      <c r="BA277" s="140"/>
      <c r="BB277" s="140"/>
      <c r="BC277" s="140"/>
      <c r="BD277" s="140"/>
      <c r="BE277" s="140"/>
    </row>
    <row r="278" s="119" customFormat="1" ht="48" customHeight="1" outlineLevel="2" spans="1:57">
      <c r="A278" s="162">
        <f t="shared" si="69"/>
        <v>4</v>
      </c>
      <c r="B278" s="165" t="s">
        <v>91</v>
      </c>
      <c r="C278" s="166" t="s">
        <v>92</v>
      </c>
      <c r="D278" s="165" t="s">
        <v>70</v>
      </c>
      <c r="E278" s="143">
        <v>37.67</v>
      </c>
      <c r="F278" s="143">
        <f>$F$22</f>
        <v>12</v>
      </c>
      <c r="G278" s="143">
        <f>$G$22</f>
        <v>25.75</v>
      </c>
      <c r="H278" s="143">
        <f>$H$22</f>
        <v>3.8</v>
      </c>
      <c r="I278" s="17">
        <f t="shared" si="70"/>
        <v>4.155</v>
      </c>
      <c r="J278" s="18">
        <f t="shared" si="71"/>
        <v>45.71</v>
      </c>
      <c r="K278" s="19">
        <f t="shared" si="72"/>
        <v>1721.9</v>
      </c>
      <c r="L278" s="135"/>
      <c r="M278" s="139">
        <v>1</v>
      </c>
      <c r="N278" s="139"/>
      <c r="O278" s="139"/>
      <c r="P278" s="37">
        <f t="shared" si="73"/>
        <v>41.55</v>
      </c>
      <c r="Q278" s="99">
        <f>$Q$22</f>
        <v>25</v>
      </c>
      <c r="R278" s="163">
        <f>$R$22</f>
        <v>0.03</v>
      </c>
      <c r="S278" s="99">
        <f>$S$22</f>
        <v>12</v>
      </c>
      <c r="T278" s="99">
        <f>$T$22</f>
        <v>3.5</v>
      </c>
      <c r="U278" s="99">
        <f>$U$22</f>
        <v>0.3</v>
      </c>
      <c r="V278" s="37">
        <f t="shared" si="74"/>
        <v>1565.1885</v>
      </c>
      <c r="W278" s="139"/>
      <c r="X278" s="139"/>
      <c r="Y278" s="139"/>
      <c r="Z278" s="139"/>
      <c r="AA278" s="139"/>
      <c r="AB278" s="139"/>
      <c r="AC278" s="139"/>
      <c r="AD278" s="139"/>
      <c r="AE278" s="139"/>
      <c r="AF278" s="140"/>
      <c r="AG278" s="140"/>
      <c r="AH278" s="140"/>
      <c r="AI278" s="140"/>
      <c r="AJ278" s="140"/>
      <c r="AK278" s="140"/>
      <c r="AL278" s="140"/>
      <c r="AM278" s="140"/>
      <c r="AN278" s="140"/>
      <c r="AO278" s="140"/>
      <c r="AP278" s="140"/>
      <c r="AQ278" s="140"/>
      <c r="AR278" s="140"/>
      <c r="AS278" s="140"/>
      <c r="AT278" s="140"/>
      <c r="AU278" s="140"/>
      <c r="AV278" s="140"/>
      <c r="AW278" s="140"/>
      <c r="AX278" s="140"/>
      <c r="AY278" s="140"/>
      <c r="AZ278" s="140"/>
      <c r="BA278" s="140"/>
      <c r="BB278" s="140"/>
      <c r="BC278" s="140"/>
      <c r="BD278" s="140"/>
      <c r="BE278" s="140"/>
    </row>
    <row r="279" s="119" customFormat="1" ht="48" customHeight="1" outlineLevel="2" spans="1:57">
      <c r="A279" s="162">
        <f t="shared" si="69"/>
        <v>5</v>
      </c>
      <c r="B279" s="165" t="s">
        <v>97</v>
      </c>
      <c r="C279" s="166" t="s">
        <v>98</v>
      </c>
      <c r="D279" s="165" t="s">
        <v>70</v>
      </c>
      <c r="E279" s="143">
        <v>37.67</v>
      </c>
      <c r="F279" s="143">
        <f>$F$25</f>
        <v>22</v>
      </c>
      <c r="G279" s="143">
        <f>$G$25</f>
        <v>58.195</v>
      </c>
      <c r="H279" s="143">
        <f>$H$25</f>
        <v>6.3</v>
      </c>
      <c r="I279" s="17">
        <f t="shared" si="70"/>
        <v>8.6495</v>
      </c>
      <c r="J279" s="18">
        <f t="shared" si="71"/>
        <v>95.14</v>
      </c>
      <c r="K279" s="19">
        <f t="shared" si="72"/>
        <v>3583.92</v>
      </c>
      <c r="L279" s="135"/>
      <c r="M279" s="139">
        <v>1</v>
      </c>
      <c r="N279" s="139"/>
      <c r="O279" s="139"/>
      <c r="P279" s="37">
        <f t="shared" si="73"/>
        <v>86.495</v>
      </c>
      <c r="Q279" s="99">
        <f>$Q$25</f>
        <v>56.5</v>
      </c>
      <c r="R279" s="163">
        <f>$R$25</f>
        <v>0.03</v>
      </c>
      <c r="S279" s="99">
        <f>$S$25</f>
        <v>22</v>
      </c>
      <c r="T279" s="99">
        <f>$T$25</f>
        <v>6</v>
      </c>
      <c r="U279" s="99">
        <f>$U$25</f>
        <v>0.3</v>
      </c>
      <c r="V279" s="37">
        <f t="shared" si="74"/>
        <v>3258.26665</v>
      </c>
      <c r="W279" s="139"/>
      <c r="X279" s="139"/>
      <c r="Y279" s="139"/>
      <c r="Z279" s="139"/>
      <c r="AA279" s="139"/>
      <c r="AB279" s="139"/>
      <c r="AC279" s="139"/>
      <c r="AD279" s="139"/>
      <c r="AE279" s="139"/>
      <c r="AF279" s="140"/>
      <c r="AG279" s="140"/>
      <c r="AH279" s="140"/>
      <c r="AI279" s="140"/>
      <c r="AJ279" s="140"/>
      <c r="AK279" s="140"/>
      <c r="AL279" s="140"/>
      <c r="AM279" s="140"/>
      <c r="AN279" s="140"/>
      <c r="AO279" s="140"/>
      <c r="AP279" s="140"/>
      <c r="AQ279" s="140"/>
      <c r="AR279" s="140"/>
      <c r="AS279" s="140"/>
      <c r="AT279" s="140"/>
      <c r="AU279" s="140"/>
      <c r="AV279" s="140"/>
      <c r="AW279" s="140"/>
      <c r="AX279" s="140"/>
      <c r="AY279" s="140"/>
      <c r="AZ279" s="140"/>
      <c r="BA279" s="140"/>
      <c r="BB279" s="140"/>
      <c r="BC279" s="140"/>
      <c r="BD279" s="140"/>
      <c r="BE279" s="140"/>
    </row>
    <row r="280" s="119" customFormat="1" ht="48" customHeight="1" outlineLevel="2" spans="1:57">
      <c r="A280" s="162">
        <f t="shared" si="69"/>
        <v>6</v>
      </c>
      <c r="B280" s="165" t="s">
        <v>99</v>
      </c>
      <c r="C280" s="166" t="s">
        <v>100</v>
      </c>
      <c r="D280" s="165" t="s">
        <v>70</v>
      </c>
      <c r="E280" s="143">
        <v>38.87</v>
      </c>
      <c r="F280" s="143">
        <f>$F$26</f>
        <v>12</v>
      </c>
      <c r="G280" s="143">
        <f>$G$26</f>
        <v>23.4325</v>
      </c>
      <c r="H280" s="143">
        <f>$H$26</f>
        <v>3.8</v>
      </c>
      <c r="I280" s="17">
        <f t="shared" si="70"/>
        <v>3.92325</v>
      </c>
      <c r="J280" s="18">
        <f t="shared" si="71"/>
        <v>43.16</v>
      </c>
      <c r="K280" s="19">
        <f t="shared" si="72"/>
        <v>1677.63</v>
      </c>
      <c r="L280" s="135"/>
      <c r="M280" s="139">
        <v>1</v>
      </c>
      <c r="N280" s="139"/>
      <c r="O280" s="139"/>
      <c r="P280" s="37">
        <f t="shared" si="73"/>
        <v>39.2325</v>
      </c>
      <c r="Q280" s="99">
        <f>$Q$26</f>
        <v>22.75</v>
      </c>
      <c r="R280" s="163">
        <f>$R$26</f>
        <v>0.03</v>
      </c>
      <c r="S280" s="99">
        <f>$S$26</f>
        <v>12</v>
      </c>
      <c r="T280" s="99">
        <f>$T$26</f>
        <v>3.5</v>
      </c>
      <c r="U280" s="99">
        <f>$U$26</f>
        <v>0.3</v>
      </c>
      <c r="V280" s="37">
        <f t="shared" si="74"/>
        <v>1524.967275</v>
      </c>
      <c r="W280" s="139"/>
      <c r="X280" s="139"/>
      <c r="Y280" s="139"/>
      <c r="Z280" s="139"/>
      <c r="AA280" s="139"/>
      <c r="AB280" s="139"/>
      <c r="AC280" s="139"/>
      <c r="AD280" s="139"/>
      <c r="AE280" s="139"/>
      <c r="AF280" s="140"/>
      <c r="AG280" s="140"/>
      <c r="AH280" s="140"/>
      <c r="AI280" s="140"/>
      <c r="AJ280" s="140"/>
      <c r="AK280" s="140"/>
      <c r="AL280" s="140"/>
      <c r="AM280" s="140"/>
      <c r="AN280" s="140"/>
      <c r="AO280" s="140"/>
      <c r="AP280" s="140"/>
      <c r="AQ280" s="140"/>
      <c r="AR280" s="140"/>
      <c r="AS280" s="140"/>
      <c r="AT280" s="140"/>
      <c r="AU280" s="140"/>
      <c r="AV280" s="140"/>
      <c r="AW280" s="140"/>
      <c r="AX280" s="140"/>
      <c r="AY280" s="140"/>
      <c r="AZ280" s="140"/>
      <c r="BA280" s="140"/>
      <c r="BB280" s="140"/>
      <c r="BC280" s="140"/>
      <c r="BD280" s="140"/>
      <c r="BE280" s="140"/>
    </row>
    <row r="281" s="119" customFormat="1" ht="24" customHeight="1" outlineLevel="1" spans="1:57">
      <c r="A281" s="141"/>
      <c r="B281" s="14" t="s">
        <v>101</v>
      </c>
      <c r="C281" s="15"/>
      <c r="D281" s="142"/>
      <c r="E281" s="143"/>
      <c r="F281" s="143"/>
      <c r="G281" s="143"/>
      <c r="H281" s="143"/>
      <c r="I281" s="143"/>
      <c r="J281" s="143"/>
      <c r="K281" s="144"/>
      <c r="L281" s="135"/>
      <c r="M281" s="139"/>
      <c r="N281" s="139"/>
      <c r="O281" s="139"/>
      <c r="P281" s="137"/>
      <c r="Q281" s="137"/>
      <c r="R281" s="138"/>
      <c r="S281" s="137"/>
      <c r="T281" s="137"/>
      <c r="U281" s="137"/>
      <c r="V281" s="137"/>
      <c r="W281" s="139"/>
      <c r="X281" s="139"/>
      <c r="Y281" s="139"/>
      <c r="Z281" s="139"/>
      <c r="AA281" s="139"/>
      <c r="AB281" s="139"/>
      <c r="AC281" s="139"/>
      <c r="AD281" s="139"/>
      <c r="AE281" s="139"/>
      <c r="AF281" s="140"/>
      <c r="AG281" s="140"/>
      <c r="AH281" s="140"/>
      <c r="AI281" s="140"/>
      <c r="AJ281" s="140"/>
      <c r="AK281" s="140"/>
      <c r="AL281" s="140"/>
      <c r="AM281" s="140"/>
      <c r="AN281" s="140"/>
      <c r="AO281" s="140"/>
      <c r="AP281" s="140"/>
      <c r="AQ281" s="140"/>
      <c r="AR281" s="140"/>
      <c r="AS281" s="140"/>
      <c r="AT281" s="140"/>
      <c r="AU281" s="140"/>
      <c r="AV281" s="140"/>
      <c r="AW281" s="140"/>
      <c r="AX281" s="140"/>
      <c r="AY281" s="140"/>
      <c r="AZ281" s="140"/>
      <c r="BA281" s="140"/>
      <c r="BB281" s="140"/>
      <c r="BC281" s="140"/>
      <c r="BD281" s="140"/>
      <c r="BE281" s="140"/>
    </row>
    <row r="282" s="119" customFormat="1" ht="96" customHeight="1" outlineLevel="2" spans="1:57">
      <c r="A282" s="162">
        <f>1+N(A281)</f>
        <v>1</v>
      </c>
      <c r="B282" s="14" t="s">
        <v>102</v>
      </c>
      <c r="C282" s="167" t="s">
        <v>103</v>
      </c>
      <c r="D282" s="142" t="s">
        <v>63</v>
      </c>
      <c r="E282" s="143">
        <f>87.3-35.84</f>
        <v>51.46</v>
      </c>
      <c r="F282" s="143">
        <f>$F$28</f>
        <v>70</v>
      </c>
      <c r="G282" s="143">
        <f>$G$28</f>
        <v>0</v>
      </c>
      <c r="H282" s="143">
        <f>$H$28</f>
        <v>66.711</v>
      </c>
      <c r="I282" s="17">
        <f>(F282+G282+H282)*$I$3</f>
        <v>13.6711</v>
      </c>
      <c r="J282" s="18">
        <f>ROUND(SUM(F282:I282),2)</f>
        <v>150.38</v>
      </c>
      <c r="K282" s="19">
        <f>ROUND(J282*E282,2)</f>
        <v>7738.55</v>
      </c>
      <c r="L282" s="135"/>
      <c r="M282" s="139">
        <v>1</v>
      </c>
      <c r="N282" s="139"/>
      <c r="O282" s="139"/>
      <c r="P282" s="37">
        <f>Q282+Q282*R282+S282+T282+U282</f>
        <v>136.711</v>
      </c>
      <c r="Q282" s="99">
        <f>$Q$28</f>
        <v>0</v>
      </c>
      <c r="R282" s="163">
        <f>$R$28</f>
        <v>0.01</v>
      </c>
      <c r="S282" s="99">
        <f>$S$28</f>
        <v>70</v>
      </c>
      <c r="T282" s="99">
        <f>$T$28</f>
        <v>64.711</v>
      </c>
      <c r="U282" s="99">
        <f>$U$28</f>
        <v>2</v>
      </c>
      <c r="V282" s="37">
        <f>P282*E282</f>
        <v>7035.14806</v>
      </c>
      <c r="W282" s="139"/>
      <c r="X282" s="139"/>
      <c r="Y282" s="139"/>
      <c r="Z282" s="139"/>
      <c r="AA282" s="139"/>
      <c r="AB282" s="139"/>
      <c r="AC282" s="139"/>
      <c r="AD282" s="139"/>
      <c r="AE282" s="139"/>
      <c r="AF282" s="140"/>
      <c r="AG282" s="140"/>
      <c r="AH282" s="140"/>
      <c r="AI282" s="140"/>
      <c r="AJ282" s="140"/>
      <c r="AK282" s="140"/>
      <c r="AL282" s="140"/>
      <c r="AM282" s="140"/>
      <c r="AN282" s="140"/>
      <c r="AO282" s="140"/>
      <c r="AP282" s="140"/>
      <c r="AQ282" s="140"/>
      <c r="AR282" s="140"/>
      <c r="AS282" s="140"/>
      <c r="AT282" s="140"/>
      <c r="AU282" s="140"/>
      <c r="AV282" s="140"/>
      <c r="AW282" s="140"/>
      <c r="AX282" s="140"/>
      <c r="AY282" s="140"/>
      <c r="AZ282" s="140"/>
      <c r="BA282" s="140"/>
      <c r="BB282" s="140"/>
      <c r="BC282" s="140"/>
      <c r="BD282" s="140"/>
      <c r="BE282" s="140"/>
    </row>
    <row r="283" s="119" customFormat="1" ht="108" customHeight="1" outlineLevel="2" spans="1:57">
      <c r="A283" s="162">
        <f>1+N(A282)</f>
        <v>2</v>
      </c>
      <c r="B283" s="14" t="s">
        <v>123</v>
      </c>
      <c r="C283" s="167" t="s">
        <v>124</v>
      </c>
      <c r="D283" s="142" t="s">
        <v>63</v>
      </c>
      <c r="E283" s="143">
        <v>35.84</v>
      </c>
      <c r="F283" s="143">
        <f>$F$53</f>
        <v>150</v>
      </c>
      <c r="G283" s="143">
        <f>$G$53</f>
        <v>0</v>
      </c>
      <c r="H283" s="143">
        <f>$H$53</f>
        <v>66.711</v>
      </c>
      <c r="I283" s="17">
        <f>(F283+G283+H283)*$I$3</f>
        <v>21.6711</v>
      </c>
      <c r="J283" s="18">
        <f>ROUND(SUM(F283:I283),2)</f>
        <v>238.38</v>
      </c>
      <c r="K283" s="19">
        <f>ROUND(J283*E283,2)</f>
        <v>8543.54</v>
      </c>
      <c r="L283" s="135"/>
      <c r="M283" s="139">
        <v>1</v>
      </c>
      <c r="N283" s="139"/>
      <c r="O283" s="139"/>
      <c r="P283" s="37">
        <f>Q283+Q283*R283+S283+T283+U283</f>
        <v>216.711</v>
      </c>
      <c r="Q283" s="99">
        <f>$Q$53</f>
        <v>0</v>
      </c>
      <c r="R283" s="163">
        <f>$R$53</f>
        <v>0.01</v>
      </c>
      <c r="S283" s="99">
        <f>$S$53</f>
        <v>150</v>
      </c>
      <c r="T283" s="99">
        <f>$T$53</f>
        <v>64.711</v>
      </c>
      <c r="U283" s="99">
        <f>$U$53</f>
        <v>2</v>
      </c>
      <c r="V283" s="37">
        <f>P283*E283</f>
        <v>7766.92224</v>
      </c>
      <c r="W283" s="139"/>
      <c r="X283" s="139"/>
      <c r="Y283" s="139"/>
      <c r="Z283" s="139"/>
      <c r="AA283" s="139"/>
      <c r="AB283" s="139"/>
      <c r="AC283" s="139"/>
      <c r="AD283" s="139"/>
      <c r="AE283" s="139"/>
      <c r="AF283" s="140"/>
      <c r="AG283" s="140"/>
      <c r="AH283" s="140"/>
      <c r="AI283" s="140"/>
      <c r="AJ283" s="140"/>
      <c r="AK283" s="140"/>
      <c r="AL283" s="140"/>
      <c r="AM283" s="140"/>
      <c r="AN283" s="140"/>
      <c r="AO283" s="140"/>
      <c r="AP283" s="140"/>
      <c r="AQ283" s="140"/>
      <c r="AR283" s="140"/>
      <c r="AS283" s="140"/>
      <c r="AT283" s="140"/>
      <c r="AU283" s="140"/>
      <c r="AV283" s="140"/>
      <c r="AW283" s="140"/>
      <c r="AX283" s="140"/>
      <c r="AY283" s="140"/>
      <c r="AZ283" s="140"/>
      <c r="BA283" s="140"/>
      <c r="BB283" s="140"/>
      <c r="BC283" s="140"/>
      <c r="BD283" s="140"/>
      <c r="BE283" s="140"/>
    </row>
    <row r="284" s="119" customFormat="1" ht="48" customHeight="1" outlineLevel="2" spans="1:57">
      <c r="A284" s="162">
        <f>1+N(A283)</f>
        <v>3</v>
      </c>
      <c r="B284" s="14" t="s">
        <v>104</v>
      </c>
      <c r="C284" s="167" t="s">
        <v>105</v>
      </c>
      <c r="D284" s="142" t="s">
        <v>70</v>
      </c>
      <c r="E284" s="143">
        <v>75.58</v>
      </c>
      <c r="F284" s="143">
        <f>$F$29</f>
        <v>50</v>
      </c>
      <c r="G284" s="143">
        <f>$G$29</f>
        <v>0</v>
      </c>
      <c r="H284" s="143">
        <f>$H$29</f>
        <v>22.0941</v>
      </c>
      <c r="I284" s="17">
        <f>(F284+G284+H284)*$I$3</f>
        <v>7.20941</v>
      </c>
      <c r="J284" s="18">
        <f>ROUND(SUM(F284:I284),2)</f>
        <v>79.3</v>
      </c>
      <c r="K284" s="19">
        <f>ROUND(J284*E284,2)</f>
        <v>5993.49</v>
      </c>
      <c r="L284" s="135"/>
      <c r="M284" s="139">
        <v>1</v>
      </c>
      <c r="N284" s="139"/>
      <c r="O284" s="139"/>
      <c r="P284" s="37">
        <f>Q284+Q284*R284+S284+T284+U284</f>
        <v>72.0941</v>
      </c>
      <c r="Q284" s="99">
        <f>$Q$29</f>
        <v>0</v>
      </c>
      <c r="R284" s="163">
        <f>$R$29</f>
        <v>0.01</v>
      </c>
      <c r="S284" s="99">
        <f>$S$29</f>
        <v>50</v>
      </c>
      <c r="T284" s="99">
        <f>$T$29</f>
        <v>22.0941</v>
      </c>
      <c r="U284" s="99">
        <f>$U$29</f>
        <v>0</v>
      </c>
      <c r="V284" s="37">
        <f>P284*E284</f>
        <v>5448.872078</v>
      </c>
      <c r="W284" s="139"/>
      <c r="X284" s="139"/>
      <c r="Y284" s="139"/>
      <c r="Z284" s="139"/>
      <c r="AA284" s="139"/>
      <c r="AB284" s="139"/>
      <c r="AC284" s="139"/>
      <c r="AD284" s="139"/>
      <c r="AE284" s="139"/>
      <c r="AF284" s="140"/>
      <c r="AG284" s="140"/>
      <c r="AH284" s="140"/>
      <c r="AI284" s="140"/>
      <c r="AJ284" s="140"/>
      <c r="AK284" s="140"/>
      <c r="AL284" s="140"/>
      <c r="AM284" s="140"/>
      <c r="AN284" s="140"/>
      <c r="AO284" s="140"/>
      <c r="AP284" s="140"/>
      <c r="AQ284" s="140"/>
      <c r="AR284" s="140"/>
      <c r="AS284" s="140"/>
      <c r="AT284" s="140"/>
      <c r="AU284" s="140"/>
      <c r="AV284" s="140"/>
      <c r="AW284" s="140"/>
      <c r="AX284" s="140"/>
      <c r="AY284" s="140"/>
      <c r="AZ284" s="140"/>
      <c r="BA284" s="140"/>
      <c r="BB284" s="140"/>
      <c r="BC284" s="140"/>
      <c r="BD284" s="140"/>
      <c r="BE284" s="140"/>
    </row>
    <row r="285" s="119" customFormat="1" ht="48" customHeight="1" outlineLevel="2" spans="1:57">
      <c r="A285" s="162">
        <f>1+N(A284)</f>
        <v>4</v>
      </c>
      <c r="B285" s="14" t="s">
        <v>106</v>
      </c>
      <c r="C285" s="167" t="s">
        <v>107</v>
      </c>
      <c r="D285" s="142" t="s">
        <v>70</v>
      </c>
      <c r="E285" s="143">
        <v>75.58</v>
      </c>
      <c r="F285" s="143">
        <f>$F$30</f>
        <v>18</v>
      </c>
      <c r="G285" s="143">
        <f>$G$30</f>
        <v>163.255</v>
      </c>
      <c r="H285" s="143">
        <f>$H$30</f>
        <v>3.8</v>
      </c>
      <c r="I285" s="17">
        <f>(F285+G285+H285)*$I$3</f>
        <v>18.5055</v>
      </c>
      <c r="J285" s="18">
        <f>ROUND(SUM(F285:I285),2)</f>
        <v>203.56</v>
      </c>
      <c r="K285" s="19">
        <f>ROUND(J285*E285,2)</f>
        <v>15385.06</v>
      </c>
      <c r="L285" s="135"/>
      <c r="M285" s="139">
        <v>1</v>
      </c>
      <c r="N285" s="139"/>
      <c r="O285" s="139"/>
      <c r="P285" s="37">
        <f>Q285+Q285*R285+S285+T285+U285</f>
        <v>185.055</v>
      </c>
      <c r="Q285" s="99">
        <f>$Q$30</f>
        <v>158.5</v>
      </c>
      <c r="R285" s="163">
        <f>$R$30</f>
        <v>0.03</v>
      </c>
      <c r="S285" s="99">
        <f>$S$30</f>
        <v>18</v>
      </c>
      <c r="T285" s="99">
        <f>$T$30</f>
        <v>3.5</v>
      </c>
      <c r="U285" s="99">
        <f>$U$30</f>
        <v>0.3</v>
      </c>
      <c r="V285" s="37">
        <f>P285*E285</f>
        <v>13986.4569</v>
      </c>
      <c r="W285" s="139"/>
      <c r="X285" s="139"/>
      <c r="Y285" s="139"/>
      <c r="Z285" s="139"/>
      <c r="AA285" s="139"/>
      <c r="AB285" s="139"/>
      <c r="AC285" s="139"/>
      <c r="AD285" s="139"/>
      <c r="AE285" s="139"/>
      <c r="AF285" s="140"/>
      <c r="AG285" s="140"/>
      <c r="AH285" s="140"/>
      <c r="AI285" s="140"/>
      <c r="AJ285" s="140"/>
      <c r="AK285" s="140"/>
      <c r="AL285" s="140"/>
      <c r="AM285" s="140"/>
      <c r="AN285" s="140"/>
      <c r="AO285" s="140"/>
      <c r="AP285" s="140"/>
      <c r="AQ285" s="140"/>
      <c r="AR285" s="140"/>
      <c r="AS285" s="140"/>
      <c r="AT285" s="140"/>
      <c r="AU285" s="140"/>
      <c r="AV285" s="140"/>
      <c r="AW285" s="140"/>
      <c r="AX285" s="140"/>
      <c r="AY285" s="140"/>
      <c r="AZ285" s="140"/>
      <c r="BA285" s="140"/>
      <c r="BB285" s="140"/>
      <c r="BC285" s="140"/>
      <c r="BD285" s="140"/>
      <c r="BE285" s="140"/>
    </row>
    <row r="286" s="119" customFormat="1" ht="72" customHeight="1" outlineLevel="2" spans="1:57">
      <c r="A286" s="162">
        <f>1+N(A285)</f>
        <v>5</v>
      </c>
      <c r="B286" s="14" t="s">
        <v>110</v>
      </c>
      <c r="C286" s="167" t="s">
        <v>111</v>
      </c>
      <c r="D286" s="142" t="s">
        <v>63</v>
      </c>
      <c r="E286" s="143">
        <f>87.3+75.58*0.3</f>
        <v>109.974</v>
      </c>
      <c r="F286" s="143">
        <f>$F$32</f>
        <v>45</v>
      </c>
      <c r="G286" s="143">
        <f>$G$32</f>
        <v>85.5</v>
      </c>
      <c r="H286" s="143">
        <f>$H$32</f>
        <v>7.3</v>
      </c>
      <c r="I286" s="17">
        <f>(F286+G286+H286)*$I$3</f>
        <v>13.78</v>
      </c>
      <c r="J286" s="18">
        <f>ROUND(SUM(F286:I286),2)</f>
        <v>151.58</v>
      </c>
      <c r="K286" s="19">
        <f>ROUND(J286*E286,2)</f>
        <v>16669.86</v>
      </c>
      <c r="L286" s="135"/>
      <c r="M286" s="139">
        <v>1</v>
      </c>
      <c r="N286" s="139"/>
      <c r="O286" s="139"/>
      <c r="P286" s="37">
        <f>Q286+Q286*R286+S286+T286+U286</f>
        <v>137.8</v>
      </c>
      <c r="Q286" s="99">
        <f>$Q$32</f>
        <v>85.5</v>
      </c>
      <c r="R286" s="163">
        <f>$R$32</f>
        <v>0</v>
      </c>
      <c r="S286" s="99">
        <f>$S$32</f>
        <v>45</v>
      </c>
      <c r="T286" s="99">
        <f>$T$32</f>
        <v>6.5</v>
      </c>
      <c r="U286" s="99">
        <f>$U$32</f>
        <v>0.8</v>
      </c>
      <c r="V286" s="37">
        <f>P286*E286</f>
        <v>15154.4172</v>
      </c>
      <c r="W286" s="139"/>
      <c r="X286" s="139"/>
      <c r="Y286" s="139"/>
      <c r="Z286" s="139"/>
      <c r="AA286" s="139"/>
      <c r="AB286" s="139"/>
      <c r="AC286" s="139"/>
      <c r="AD286" s="139"/>
      <c r="AE286" s="139"/>
      <c r="AF286" s="140"/>
      <c r="AG286" s="140"/>
      <c r="AH286" s="140"/>
      <c r="AI286" s="140"/>
      <c r="AJ286" s="140"/>
      <c r="AK286" s="140"/>
      <c r="AL286" s="140"/>
      <c r="AM286" s="140"/>
      <c r="AN286" s="140"/>
      <c r="AO286" s="140"/>
      <c r="AP286" s="140"/>
      <c r="AQ286" s="140"/>
      <c r="AR286" s="140"/>
      <c r="AS286" s="140"/>
      <c r="AT286" s="140"/>
      <c r="AU286" s="140"/>
      <c r="AV286" s="140"/>
      <c r="AW286" s="140"/>
      <c r="AX286" s="140"/>
      <c r="AY286" s="140"/>
      <c r="AZ286" s="140"/>
      <c r="BA286" s="140"/>
      <c r="BB286" s="140"/>
      <c r="BC286" s="140"/>
      <c r="BD286" s="140"/>
      <c r="BE286" s="140"/>
    </row>
    <row r="287" s="119" customFormat="1" ht="24" customHeight="1" outlineLevel="1" spans="1:57">
      <c r="A287" s="141"/>
      <c r="B287" s="14" t="s">
        <v>112</v>
      </c>
      <c r="C287" s="15"/>
      <c r="D287" s="142"/>
      <c r="E287" s="143"/>
      <c r="F287" s="143"/>
      <c r="G287" s="143"/>
      <c r="H287" s="143"/>
      <c r="I287" s="143"/>
      <c r="J287" s="143"/>
      <c r="K287" s="144"/>
      <c r="L287" s="135"/>
      <c r="M287" s="139"/>
      <c r="N287" s="139"/>
      <c r="O287" s="139"/>
      <c r="P287" s="137"/>
      <c r="Q287" s="137"/>
      <c r="R287" s="138"/>
      <c r="S287" s="137"/>
      <c r="T287" s="137"/>
      <c r="U287" s="137"/>
      <c r="V287" s="137"/>
      <c r="W287" s="139"/>
      <c r="X287" s="139"/>
      <c r="Y287" s="139"/>
      <c r="Z287" s="139"/>
      <c r="AA287" s="139"/>
      <c r="AB287" s="139"/>
      <c r="AC287" s="139"/>
      <c r="AD287" s="139"/>
      <c r="AE287" s="139"/>
      <c r="AF287" s="140"/>
      <c r="AG287" s="140"/>
      <c r="AH287" s="140"/>
      <c r="AI287" s="140"/>
      <c r="AJ287" s="140"/>
      <c r="AK287" s="140"/>
      <c r="AL287" s="140"/>
      <c r="AM287" s="140"/>
      <c r="AN287" s="140"/>
      <c r="AO287" s="140"/>
      <c r="AP287" s="140"/>
      <c r="AQ287" s="140"/>
      <c r="AR287" s="140"/>
      <c r="AS287" s="140"/>
      <c r="AT287" s="140"/>
      <c r="AU287" s="140"/>
      <c r="AV287" s="140"/>
      <c r="AW287" s="140"/>
      <c r="AX287" s="140"/>
      <c r="AY287" s="140"/>
      <c r="AZ287" s="140"/>
      <c r="BA287" s="140"/>
      <c r="BB287" s="140"/>
      <c r="BC287" s="140"/>
      <c r="BD287" s="140"/>
      <c r="BE287" s="140"/>
    </row>
    <row r="288" s="119" customFormat="1" ht="36" customHeight="1" outlineLevel="2" spans="1:57">
      <c r="A288" s="162">
        <f>1+N(A287)</f>
        <v>1</v>
      </c>
      <c r="B288" s="14" t="s">
        <v>126</v>
      </c>
      <c r="C288" s="15" t="s">
        <v>114</v>
      </c>
      <c r="D288" s="142" t="s">
        <v>63</v>
      </c>
      <c r="E288" s="143">
        <f>0.7*3</f>
        <v>2.1</v>
      </c>
      <c r="F288" s="143">
        <f>$F$60</f>
        <v>165</v>
      </c>
      <c r="G288" s="143">
        <f>$G$60</f>
        <v>85</v>
      </c>
      <c r="H288" s="143">
        <f>$H$60</f>
        <v>355.1744</v>
      </c>
      <c r="I288" s="17">
        <f>(F288+G288+H288)*$I$3</f>
        <v>60.51744</v>
      </c>
      <c r="J288" s="18">
        <f>ROUND(SUM(F288:I288),2)</f>
        <v>665.69</v>
      </c>
      <c r="K288" s="19">
        <f>ROUND(J288*E288,2)</f>
        <v>1397.95</v>
      </c>
      <c r="L288" s="135"/>
      <c r="M288" s="139">
        <v>1</v>
      </c>
      <c r="N288" s="139"/>
      <c r="O288" s="139"/>
      <c r="P288" s="37">
        <f>Q288+Q288*R288+S288+T288+U288</f>
        <v>605.1744</v>
      </c>
      <c r="Q288" s="99">
        <f>$Q$60</f>
        <v>85</v>
      </c>
      <c r="R288" s="163">
        <f>$R$60</f>
        <v>0</v>
      </c>
      <c r="S288" s="99">
        <f>$S$60</f>
        <v>165</v>
      </c>
      <c r="T288" s="99">
        <f>$T$60</f>
        <v>353.6744</v>
      </c>
      <c r="U288" s="99">
        <f>$U$60</f>
        <v>1.5</v>
      </c>
      <c r="V288" s="37">
        <f>P288*E288</f>
        <v>1270.86624</v>
      </c>
      <c r="W288" s="139"/>
      <c r="X288" s="139"/>
      <c r="Y288" s="139"/>
      <c r="Z288" s="139"/>
      <c r="AA288" s="139"/>
      <c r="AB288" s="139"/>
      <c r="AC288" s="139"/>
      <c r="AD288" s="139"/>
      <c r="AE288" s="139"/>
      <c r="AF288" s="140"/>
      <c r="AG288" s="140"/>
      <c r="AH288" s="140"/>
      <c r="AI288" s="140"/>
      <c r="AJ288" s="140"/>
      <c r="AK288" s="140"/>
      <c r="AL288" s="140"/>
      <c r="AM288" s="140"/>
      <c r="AN288" s="140"/>
      <c r="AO288" s="140"/>
      <c r="AP288" s="140"/>
      <c r="AQ288" s="140"/>
      <c r="AR288" s="140"/>
      <c r="AS288" s="140"/>
      <c r="AT288" s="140"/>
      <c r="AU288" s="140"/>
      <c r="AV288" s="140"/>
      <c r="AW288" s="140"/>
      <c r="AX288" s="140"/>
      <c r="AY288" s="140"/>
      <c r="AZ288" s="140"/>
      <c r="BA288" s="140"/>
      <c r="BB288" s="140"/>
      <c r="BC288" s="140"/>
      <c r="BD288" s="140"/>
      <c r="BE288" s="140"/>
    </row>
    <row r="289" s="119" customFormat="1" ht="24" customHeight="1" outlineLevel="1" spans="1:57">
      <c r="A289" s="132" t="s">
        <v>157</v>
      </c>
      <c r="B289" s="8" t="s">
        <v>207</v>
      </c>
      <c r="C289" s="8"/>
      <c r="D289" s="133"/>
      <c r="E289" s="134"/>
      <c r="F289" s="134"/>
      <c r="G289" s="134"/>
      <c r="H289" s="134"/>
      <c r="I289" s="134"/>
      <c r="J289" s="134"/>
      <c r="K289" s="11"/>
      <c r="L289" s="135"/>
      <c r="M289" s="139"/>
      <c r="N289" s="139"/>
      <c r="O289" s="170" t="str">
        <f>_xlfn.DISPIMG("ID_DA8056B476E24060850BD63660BA0158",1)</f>
        <v>=DISPIMG("ID_DA8056B476E24060850BD63660BA0158",1)</v>
      </c>
      <c r="P289" s="137"/>
      <c r="Q289" s="137"/>
      <c r="R289" s="138"/>
      <c r="S289" s="137"/>
      <c r="T289" s="137"/>
      <c r="U289" s="137"/>
      <c r="V289" s="137"/>
      <c r="W289" s="139"/>
      <c r="X289" s="139"/>
      <c r="Y289" s="139"/>
      <c r="Z289" s="139"/>
      <c r="AA289" s="139"/>
      <c r="AB289" s="139"/>
      <c r="AC289" s="139"/>
      <c r="AD289" s="139"/>
      <c r="AE289" s="139"/>
      <c r="AF289" s="140"/>
      <c r="AG289" s="140"/>
      <c r="AH289" s="140"/>
      <c r="AI289" s="140"/>
      <c r="AJ289" s="140"/>
      <c r="AK289" s="140"/>
      <c r="AL289" s="140"/>
      <c r="AM289" s="140"/>
      <c r="AN289" s="140"/>
      <c r="AO289" s="140"/>
      <c r="AP289" s="140"/>
      <c r="AQ289" s="140"/>
      <c r="AR289" s="140"/>
      <c r="AS289" s="140"/>
      <c r="AT289" s="140"/>
      <c r="AU289" s="140"/>
      <c r="AV289" s="140"/>
      <c r="AW289" s="140"/>
      <c r="AX289" s="140"/>
      <c r="AY289" s="140"/>
      <c r="AZ289" s="140"/>
      <c r="BA289" s="140"/>
      <c r="BB289" s="140"/>
      <c r="BC289" s="140"/>
      <c r="BD289" s="140"/>
      <c r="BE289" s="140"/>
    </row>
    <row r="290" s="119" customFormat="1" ht="24" customHeight="1" outlineLevel="1" spans="1:57">
      <c r="A290" s="141"/>
      <c r="B290" s="14" t="s">
        <v>60</v>
      </c>
      <c r="C290" s="15"/>
      <c r="D290" s="142"/>
      <c r="E290" s="143"/>
      <c r="F290" s="143"/>
      <c r="G290" s="143"/>
      <c r="H290" s="143"/>
      <c r="I290" s="143"/>
      <c r="J290" s="143"/>
      <c r="K290" s="144"/>
      <c r="L290" s="135"/>
      <c r="M290" s="139"/>
      <c r="N290" s="139"/>
      <c r="O290" s="139"/>
      <c r="P290" s="137"/>
      <c r="Q290" s="137"/>
      <c r="R290" s="138"/>
      <c r="S290" s="137"/>
      <c r="T290" s="137"/>
      <c r="U290" s="137"/>
      <c r="V290" s="137"/>
      <c r="W290" s="139"/>
      <c r="X290" s="139"/>
      <c r="Y290" s="139"/>
      <c r="Z290" s="139"/>
      <c r="AA290" s="139"/>
      <c r="AB290" s="139"/>
      <c r="AC290" s="139"/>
      <c r="AD290" s="139"/>
      <c r="AE290" s="139"/>
      <c r="AF290" s="140"/>
      <c r="AG290" s="140"/>
      <c r="AH290" s="140"/>
      <c r="AI290" s="140"/>
      <c r="AJ290" s="140"/>
      <c r="AK290" s="140"/>
      <c r="AL290" s="140"/>
      <c r="AM290" s="140"/>
      <c r="AN290" s="140"/>
      <c r="AO290" s="140"/>
      <c r="AP290" s="140"/>
      <c r="AQ290" s="140"/>
      <c r="AR290" s="140"/>
      <c r="AS290" s="140"/>
      <c r="AT290" s="140"/>
      <c r="AU290" s="140"/>
      <c r="AV290" s="140"/>
      <c r="AW290" s="140"/>
      <c r="AX290" s="140"/>
      <c r="AY290" s="140"/>
      <c r="AZ290" s="140"/>
      <c r="BA290" s="140"/>
      <c r="BB290" s="140"/>
      <c r="BC290" s="140"/>
      <c r="BD290" s="140"/>
      <c r="BE290" s="140"/>
    </row>
    <row r="291" s="119" customFormat="1" ht="96" customHeight="1" outlineLevel="2" spans="1:57">
      <c r="A291" s="162">
        <f>1+N(A290)</f>
        <v>1</v>
      </c>
      <c r="B291" s="14" t="s">
        <v>61</v>
      </c>
      <c r="C291" s="15" t="s">
        <v>62</v>
      </c>
      <c r="D291" s="142" t="s">
        <v>63</v>
      </c>
      <c r="E291" s="143">
        <v>0.52</v>
      </c>
      <c r="F291" s="143">
        <f>$F$7</f>
        <v>130</v>
      </c>
      <c r="G291" s="143">
        <f>$G$7</f>
        <v>628.3</v>
      </c>
      <c r="H291" s="17">
        <f>$H$7</f>
        <v>47.7</v>
      </c>
      <c r="I291" s="17">
        <f>(F291+G291+H291)*$I$3</f>
        <v>80.6</v>
      </c>
      <c r="J291" s="18">
        <f>ROUND(SUM(F291:I291),2)</f>
        <v>886.6</v>
      </c>
      <c r="K291" s="19">
        <f>ROUND(J291*E291,2)</f>
        <v>461.03</v>
      </c>
      <c r="L291" s="135"/>
      <c r="M291" s="139">
        <v>1</v>
      </c>
      <c r="N291" s="139"/>
      <c r="O291" s="139"/>
      <c r="P291" s="37">
        <f>Q291+Q291*R291+S291+T291+U291</f>
        <v>806</v>
      </c>
      <c r="Q291" s="99">
        <f>$Q$7</f>
        <v>610</v>
      </c>
      <c r="R291" s="163">
        <f>$R$7</f>
        <v>0.03</v>
      </c>
      <c r="S291" s="99">
        <f>$S$7</f>
        <v>130</v>
      </c>
      <c r="T291" s="99">
        <f>$T$7</f>
        <v>46.2</v>
      </c>
      <c r="U291" s="99">
        <f>$U$7</f>
        <v>1.5</v>
      </c>
      <c r="V291" s="37">
        <f>P291*E291</f>
        <v>419.12</v>
      </c>
      <c r="W291" s="139"/>
      <c r="X291" s="139"/>
      <c r="Y291" s="139"/>
      <c r="Z291" s="139"/>
      <c r="AA291" s="139"/>
      <c r="AB291" s="139"/>
      <c r="AC291" s="139"/>
      <c r="AD291" s="139"/>
      <c r="AE291" s="139"/>
      <c r="AF291" s="140"/>
      <c r="AG291" s="140"/>
      <c r="AH291" s="140"/>
      <c r="AI291" s="140"/>
      <c r="AJ291" s="140"/>
      <c r="AK291" s="140"/>
      <c r="AL291" s="140"/>
      <c r="AM291" s="140"/>
      <c r="AN291" s="140"/>
      <c r="AO291" s="140"/>
      <c r="AP291" s="140"/>
      <c r="AQ291" s="140"/>
      <c r="AR291" s="140"/>
      <c r="AS291" s="140"/>
      <c r="AT291" s="140"/>
      <c r="AU291" s="140"/>
      <c r="AV291" s="140"/>
      <c r="AW291" s="140"/>
      <c r="AX291" s="140"/>
      <c r="AY291" s="140"/>
      <c r="AZ291" s="140"/>
      <c r="BA291" s="140"/>
      <c r="BB291" s="140"/>
      <c r="BC291" s="140"/>
      <c r="BD291" s="140"/>
      <c r="BE291" s="140"/>
    </row>
    <row r="292" s="119" customFormat="1" ht="96" customHeight="1" outlineLevel="2" spans="1:57">
      <c r="A292" s="162">
        <f>1+N(A291)</f>
        <v>2</v>
      </c>
      <c r="B292" s="14" t="s">
        <v>66</v>
      </c>
      <c r="C292" s="15" t="s">
        <v>67</v>
      </c>
      <c r="D292" s="142" t="s">
        <v>63</v>
      </c>
      <c r="E292" s="143">
        <v>2.42</v>
      </c>
      <c r="F292" s="143">
        <f>$F$9</f>
        <v>77</v>
      </c>
      <c r="G292" s="143">
        <f>$G$9</f>
        <v>56.65</v>
      </c>
      <c r="H292" s="17">
        <f>$H$9</f>
        <v>50.6</v>
      </c>
      <c r="I292" s="17">
        <f>(F292+G292+H292)*$I$3</f>
        <v>18.425</v>
      </c>
      <c r="J292" s="18">
        <f>ROUND(SUM(F292:I292),2)</f>
        <v>202.68</v>
      </c>
      <c r="K292" s="19">
        <f>ROUND(J292*E292,2)</f>
        <v>490.49</v>
      </c>
      <c r="L292" s="135"/>
      <c r="M292" s="139">
        <v>1</v>
      </c>
      <c r="N292" s="139"/>
      <c r="O292" s="139"/>
      <c r="P292" s="37">
        <f>Q292+Q292*R292+S292+T292+U292</f>
        <v>184.25</v>
      </c>
      <c r="Q292" s="99">
        <f>$Q$9</f>
        <v>55</v>
      </c>
      <c r="R292" s="163">
        <f>$R$9</f>
        <v>0.03</v>
      </c>
      <c r="S292" s="99">
        <f>$S$9</f>
        <v>77</v>
      </c>
      <c r="T292" s="99">
        <f>$T$9</f>
        <v>50.1</v>
      </c>
      <c r="U292" s="99">
        <f>$U$9</f>
        <v>0.5</v>
      </c>
      <c r="V292" s="37">
        <f>P292*E292</f>
        <v>445.885</v>
      </c>
      <c r="W292" s="139"/>
      <c r="X292" s="139"/>
      <c r="Y292" s="139"/>
      <c r="Z292" s="139"/>
      <c r="AA292" s="139"/>
      <c r="AB292" s="139"/>
      <c r="AC292" s="139"/>
      <c r="AD292" s="139"/>
      <c r="AE292" s="139"/>
      <c r="AF292" s="140"/>
      <c r="AG292" s="140"/>
      <c r="AH292" s="140"/>
      <c r="AI292" s="140"/>
      <c r="AJ292" s="140"/>
      <c r="AK292" s="140"/>
      <c r="AL292" s="140"/>
      <c r="AM292" s="140"/>
      <c r="AN292" s="140"/>
      <c r="AO292" s="140"/>
      <c r="AP292" s="140"/>
      <c r="AQ292" s="140"/>
      <c r="AR292" s="140"/>
      <c r="AS292" s="140"/>
      <c r="AT292" s="140"/>
      <c r="AU292" s="140"/>
      <c r="AV292" s="140"/>
      <c r="AW292" s="140"/>
      <c r="AX292" s="140"/>
      <c r="AY292" s="140"/>
      <c r="AZ292" s="140"/>
      <c r="BA292" s="140"/>
      <c r="BB292" s="140"/>
      <c r="BC292" s="140"/>
      <c r="BD292" s="140"/>
      <c r="BE292" s="140"/>
    </row>
    <row r="293" s="119" customFormat="1" ht="48" customHeight="1" outlineLevel="2" spans="1:57">
      <c r="A293" s="162">
        <f>1+N(A292)</f>
        <v>3</v>
      </c>
      <c r="B293" s="14" t="s">
        <v>71</v>
      </c>
      <c r="C293" s="15" t="s">
        <v>72</v>
      </c>
      <c r="D293" s="142" t="s">
        <v>63</v>
      </c>
      <c r="E293" s="143">
        <v>0.52</v>
      </c>
      <c r="F293" s="143">
        <f>$F$11</f>
        <v>40</v>
      </c>
      <c r="G293" s="143">
        <f>$G$11</f>
        <v>15</v>
      </c>
      <c r="H293" s="143">
        <f>$H$11</f>
        <v>0.8</v>
      </c>
      <c r="I293" s="17">
        <f>(F293+G293+H293)*$I$3</f>
        <v>5.58</v>
      </c>
      <c r="J293" s="18">
        <f>ROUND(SUM(F293:I293),2)</f>
        <v>61.38</v>
      </c>
      <c r="K293" s="19">
        <f>ROUND(J293*E293,2)</f>
        <v>31.92</v>
      </c>
      <c r="L293" s="135"/>
      <c r="M293" s="139">
        <v>1</v>
      </c>
      <c r="N293" s="139"/>
      <c r="O293" s="139"/>
      <c r="P293" s="37">
        <f>Q293+Q293*R293+S293+T293+U293</f>
        <v>55.8</v>
      </c>
      <c r="Q293" s="99">
        <f>$Q$11</f>
        <v>15</v>
      </c>
      <c r="R293" s="163">
        <f>$R$11</f>
        <v>0</v>
      </c>
      <c r="S293" s="99">
        <f>$S$11</f>
        <v>40</v>
      </c>
      <c r="T293" s="99">
        <f>$T$11</f>
        <v>0.5</v>
      </c>
      <c r="U293" s="99">
        <f>$U$11</f>
        <v>0.3</v>
      </c>
      <c r="V293" s="37">
        <f>P293*E293</f>
        <v>29.016</v>
      </c>
      <c r="W293" s="139"/>
      <c r="X293" s="139"/>
      <c r="Y293" s="139"/>
      <c r="Z293" s="139"/>
      <c r="AA293" s="139"/>
      <c r="AB293" s="139"/>
      <c r="AC293" s="139"/>
      <c r="AD293" s="139"/>
      <c r="AE293" s="139"/>
      <c r="AF293" s="140"/>
      <c r="AG293" s="140"/>
      <c r="AH293" s="140"/>
      <c r="AI293" s="140"/>
      <c r="AJ293" s="140"/>
      <c r="AK293" s="140"/>
      <c r="AL293" s="140"/>
      <c r="AM293" s="140"/>
      <c r="AN293" s="140"/>
      <c r="AO293" s="140"/>
      <c r="AP293" s="140"/>
      <c r="AQ293" s="140"/>
      <c r="AR293" s="140"/>
      <c r="AS293" s="140"/>
      <c r="AT293" s="140"/>
      <c r="AU293" s="140"/>
      <c r="AV293" s="140"/>
      <c r="AW293" s="140"/>
      <c r="AX293" s="140"/>
      <c r="AY293" s="140"/>
      <c r="AZ293" s="140"/>
      <c r="BA293" s="140"/>
      <c r="BB293" s="140"/>
      <c r="BC293" s="140"/>
      <c r="BD293" s="140"/>
      <c r="BE293" s="140"/>
    </row>
    <row r="294" s="119" customFormat="1" ht="24" customHeight="1" outlineLevel="1" spans="1:57">
      <c r="A294" s="141"/>
      <c r="B294" s="14" t="s">
        <v>73</v>
      </c>
      <c r="C294" s="15"/>
      <c r="D294" s="142"/>
      <c r="E294" s="143"/>
      <c r="F294" s="143"/>
      <c r="G294" s="143"/>
      <c r="H294" s="143"/>
      <c r="I294" s="143"/>
      <c r="J294" s="143"/>
      <c r="K294" s="144"/>
      <c r="L294" s="135"/>
      <c r="M294" s="139"/>
      <c r="N294" s="139"/>
      <c r="O294" s="139"/>
      <c r="P294" s="137"/>
      <c r="Q294" s="137"/>
      <c r="R294" s="138"/>
      <c r="S294" s="137"/>
      <c r="T294" s="137"/>
      <c r="U294" s="137"/>
      <c r="V294" s="137"/>
      <c r="W294" s="139"/>
      <c r="X294" s="139"/>
      <c r="Y294" s="139"/>
      <c r="Z294" s="139"/>
      <c r="AA294" s="139"/>
      <c r="AB294" s="139"/>
      <c r="AC294" s="139"/>
      <c r="AD294" s="139"/>
      <c r="AE294" s="139"/>
      <c r="AF294" s="140"/>
      <c r="AG294" s="140"/>
      <c r="AH294" s="140"/>
      <c r="AI294" s="140"/>
      <c r="AJ294" s="140"/>
      <c r="AK294" s="140"/>
      <c r="AL294" s="140"/>
      <c r="AM294" s="140"/>
      <c r="AN294" s="140"/>
      <c r="AO294" s="140"/>
      <c r="AP294" s="140"/>
      <c r="AQ294" s="140"/>
      <c r="AR294" s="140"/>
      <c r="AS294" s="140"/>
      <c r="AT294" s="140"/>
      <c r="AU294" s="140"/>
      <c r="AV294" s="140"/>
      <c r="AW294" s="140"/>
      <c r="AX294" s="140"/>
      <c r="AY294" s="140"/>
      <c r="AZ294" s="140"/>
      <c r="BA294" s="140"/>
      <c r="BB294" s="140"/>
      <c r="BC294" s="140"/>
      <c r="BD294" s="140"/>
      <c r="BE294" s="140"/>
    </row>
    <row r="295" s="119" customFormat="1" ht="72" customHeight="1" outlineLevel="2" spans="1:57">
      <c r="A295" s="162">
        <f>1+N(A294)</f>
        <v>1</v>
      </c>
      <c r="B295" s="165" t="s">
        <v>80</v>
      </c>
      <c r="C295" s="166" t="s">
        <v>81</v>
      </c>
      <c r="D295" s="165" t="s">
        <v>63</v>
      </c>
      <c r="E295" s="143">
        <v>11.653</v>
      </c>
      <c r="F295" s="143">
        <f>$F$16</f>
        <v>91.5</v>
      </c>
      <c r="G295" s="143">
        <f>$G$16</f>
        <v>5.555</v>
      </c>
      <c r="H295" s="143">
        <f>$H$16</f>
        <v>56.797</v>
      </c>
      <c r="I295" s="17">
        <f>(F295+G295+H295)*$I$3</f>
        <v>15.3852</v>
      </c>
      <c r="J295" s="18">
        <f>ROUND(SUM(F295:I295),2)</f>
        <v>169.24</v>
      </c>
      <c r="K295" s="19">
        <f>ROUND(J295*E295,2)</f>
        <v>1972.15</v>
      </c>
      <c r="L295" s="135"/>
      <c r="M295" s="139">
        <v>1</v>
      </c>
      <c r="N295" s="139"/>
      <c r="O295" s="139"/>
      <c r="P295" s="37">
        <f>Q295+Q295*R295+S295+T295+U295</f>
        <v>153.852</v>
      </c>
      <c r="Q295" s="99">
        <f>$Q$16</f>
        <v>5.5</v>
      </c>
      <c r="R295" s="163">
        <f>$R$16</f>
        <v>0.01</v>
      </c>
      <c r="S295" s="99">
        <f>$S$16</f>
        <v>91.5</v>
      </c>
      <c r="T295" s="99">
        <f>$T$16</f>
        <v>55.997</v>
      </c>
      <c r="U295" s="99">
        <f>$U$16</f>
        <v>0.8</v>
      </c>
      <c r="V295" s="37">
        <f>P295*E295</f>
        <v>1792.837356</v>
      </c>
      <c r="W295" s="139"/>
      <c r="X295" s="139"/>
      <c r="Y295" s="139"/>
      <c r="Z295" s="139"/>
      <c r="AA295" s="139"/>
      <c r="AB295" s="139"/>
      <c r="AC295" s="139"/>
      <c r="AD295" s="139"/>
      <c r="AE295" s="139"/>
      <c r="AF295" s="140"/>
      <c r="AG295" s="140"/>
      <c r="AH295" s="140"/>
      <c r="AI295" s="140"/>
      <c r="AJ295" s="140"/>
      <c r="AK295" s="140"/>
      <c r="AL295" s="140"/>
      <c r="AM295" s="140"/>
      <c r="AN295" s="140"/>
      <c r="AO295" s="140"/>
      <c r="AP295" s="140"/>
      <c r="AQ295" s="140"/>
      <c r="AR295" s="140"/>
      <c r="AS295" s="140"/>
      <c r="AT295" s="140"/>
      <c r="AU295" s="140"/>
      <c r="AV295" s="140"/>
      <c r="AW295" s="140"/>
      <c r="AX295" s="140"/>
      <c r="AY295" s="140"/>
      <c r="AZ295" s="140"/>
      <c r="BA295" s="140"/>
      <c r="BB295" s="140"/>
      <c r="BC295" s="140"/>
      <c r="BD295" s="140"/>
      <c r="BE295" s="140"/>
    </row>
    <row r="296" s="119" customFormat="1" ht="48" customHeight="1" outlineLevel="2" spans="1:57">
      <c r="A296" s="162">
        <f>1+N(A295)</f>
        <v>2</v>
      </c>
      <c r="B296" s="165" t="s">
        <v>144</v>
      </c>
      <c r="C296" s="166" t="s">
        <v>83</v>
      </c>
      <c r="D296" s="165" t="s">
        <v>63</v>
      </c>
      <c r="E296" s="143">
        <f>0.242*3*2+1.22*0.19</f>
        <v>1.6838</v>
      </c>
      <c r="F296" s="143">
        <f>$F$118</f>
        <v>110</v>
      </c>
      <c r="G296" s="143">
        <f>$G$118</f>
        <v>454.5</v>
      </c>
      <c r="H296" s="143">
        <f>$H$118</f>
        <v>55.2</v>
      </c>
      <c r="I296" s="17">
        <f>(F296+G296+H296)*$I$3</f>
        <v>61.97</v>
      </c>
      <c r="J296" s="18">
        <f>ROUND(SUM(F296:I296),2)</f>
        <v>681.67</v>
      </c>
      <c r="K296" s="19">
        <f>ROUND(J296*E296,2)</f>
        <v>1147.8</v>
      </c>
      <c r="L296" s="135"/>
      <c r="M296" s="139">
        <v>1</v>
      </c>
      <c r="N296" s="139"/>
      <c r="O296" s="139"/>
      <c r="P296" s="37">
        <f>Q296+Q296*R296+S296+T296+U296</f>
        <v>619.7</v>
      </c>
      <c r="Q296" s="99">
        <f>$Q$118</f>
        <v>450</v>
      </c>
      <c r="R296" s="163">
        <f>$R$118</f>
        <v>0.01</v>
      </c>
      <c r="S296" s="99">
        <f>$S$118</f>
        <v>110</v>
      </c>
      <c r="T296" s="99">
        <f>$T$118</f>
        <v>54</v>
      </c>
      <c r="U296" s="99">
        <f>$U$118</f>
        <v>1.2</v>
      </c>
      <c r="V296" s="37">
        <f>P296*E296</f>
        <v>1043.45086</v>
      </c>
      <c r="W296" s="139"/>
      <c r="X296" s="139"/>
      <c r="Y296" s="139"/>
      <c r="Z296" s="139"/>
      <c r="AA296" s="139"/>
      <c r="AB296" s="139"/>
      <c r="AC296" s="139"/>
      <c r="AD296" s="139"/>
      <c r="AE296" s="139"/>
      <c r="AF296" s="140"/>
      <c r="AG296" s="140"/>
      <c r="AH296" s="140"/>
      <c r="AI296" s="140"/>
      <c r="AJ296" s="140"/>
      <c r="AK296" s="140"/>
      <c r="AL296" s="140"/>
      <c r="AM296" s="140"/>
      <c r="AN296" s="140"/>
      <c r="AO296" s="140"/>
      <c r="AP296" s="140"/>
      <c r="AQ296" s="140"/>
      <c r="AR296" s="140"/>
      <c r="AS296" s="140"/>
      <c r="AT296" s="140"/>
      <c r="AU296" s="140"/>
      <c r="AV296" s="140"/>
      <c r="AW296" s="140"/>
      <c r="AX296" s="140"/>
      <c r="AY296" s="140"/>
      <c r="AZ296" s="140"/>
      <c r="BA296" s="140"/>
      <c r="BB296" s="140"/>
      <c r="BC296" s="140"/>
      <c r="BD296" s="140"/>
      <c r="BE296" s="140"/>
    </row>
    <row r="297" s="119" customFormat="1" ht="48" customHeight="1" outlineLevel="2" spans="1:57">
      <c r="A297" s="162">
        <f>1+N(A296)</f>
        <v>3</v>
      </c>
      <c r="B297" s="165" t="s">
        <v>91</v>
      </c>
      <c r="C297" s="166" t="s">
        <v>92</v>
      </c>
      <c r="D297" s="165" t="s">
        <v>70</v>
      </c>
      <c r="E297" s="143">
        <v>3.95</v>
      </c>
      <c r="F297" s="143">
        <f>$F$22</f>
        <v>12</v>
      </c>
      <c r="G297" s="143">
        <f>$G$22</f>
        <v>25.75</v>
      </c>
      <c r="H297" s="143">
        <f>$H$22</f>
        <v>3.8</v>
      </c>
      <c r="I297" s="17">
        <f>(F297+G297+H297)*$I$3</f>
        <v>4.155</v>
      </c>
      <c r="J297" s="18">
        <f>ROUND(SUM(F297:I297),2)</f>
        <v>45.71</v>
      </c>
      <c r="K297" s="19">
        <f>ROUND(J297*E297,2)</f>
        <v>180.55</v>
      </c>
      <c r="L297" s="135"/>
      <c r="M297" s="139">
        <v>1</v>
      </c>
      <c r="N297" s="139"/>
      <c r="O297" s="139"/>
      <c r="P297" s="37">
        <f>Q297+Q297*R297+S297+T297+U297</f>
        <v>41.55</v>
      </c>
      <c r="Q297" s="99">
        <f>$Q$22</f>
        <v>25</v>
      </c>
      <c r="R297" s="163">
        <f>$R$22</f>
        <v>0.03</v>
      </c>
      <c r="S297" s="99">
        <f>$S$22</f>
        <v>12</v>
      </c>
      <c r="T297" s="99">
        <f>$T$22</f>
        <v>3.5</v>
      </c>
      <c r="U297" s="99">
        <f>$U$22</f>
        <v>0.3</v>
      </c>
      <c r="V297" s="37">
        <f>P297*E297</f>
        <v>164.1225</v>
      </c>
      <c r="W297" s="139"/>
      <c r="X297" s="139"/>
      <c r="Y297" s="139"/>
      <c r="Z297" s="139"/>
      <c r="AA297" s="139"/>
      <c r="AB297" s="139"/>
      <c r="AC297" s="139"/>
      <c r="AD297" s="139"/>
      <c r="AE297" s="139"/>
      <c r="AF297" s="140"/>
      <c r="AG297" s="140"/>
      <c r="AH297" s="140"/>
      <c r="AI297" s="140"/>
      <c r="AJ297" s="140"/>
      <c r="AK297" s="140"/>
      <c r="AL297" s="140"/>
      <c r="AM297" s="140"/>
      <c r="AN297" s="140"/>
      <c r="AO297" s="140"/>
      <c r="AP297" s="140"/>
      <c r="AQ297" s="140"/>
      <c r="AR297" s="140"/>
      <c r="AS297" s="140"/>
      <c r="AT297" s="140"/>
      <c r="AU297" s="140"/>
      <c r="AV297" s="140"/>
      <c r="AW297" s="140"/>
      <c r="AX297" s="140"/>
      <c r="AY297" s="140"/>
      <c r="AZ297" s="140"/>
      <c r="BA297" s="140"/>
      <c r="BB297" s="140"/>
      <c r="BC297" s="140"/>
      <c r="BD297" s="140"/>
      <c r="BE297" s="140"/>
    </row>
    <row r="298" s="119" customFormat="1" ht="48" customHeight="1" outlineLevel="2" spans="1:57">
      <c r="A298" s="162">
        <f>1+N(A297)</f>
        <v>4</v>
      </c>
      <c r="B298" s="165" t="s">
        <v>97</v>
      </c>
      <c r="C298" s="166" t="s">
        <v>98</v>
      </c>
      <c r="D298" s="165" t="s">
        <v>70</v>
      </c>
      <c r="E298" s="143">
        <v>3.95</v>
      </c>
      <c r="F298" s="143">
        <f>$F$25</f>
        <v>22</v>
      </c>
      <c r="G298" s="143">
        <f>$G$25</f>
        <v>58.195</v>
      </c>
      <c r="H298" s="143">
        <f>$H$25</f>
        <v>6.3</v>
      </c>
      <c r="I298" s="17">
        <f>(F298+G298+H298)*$I$3</f>
        <v>8.6495</v>
      </c>
      <c r="J298" s="18">
        <f>ROUND(SUM(F298:I298),2)</f>
        <v>95.14</v>
      </c>
      <c r="K298" s="19">
        <f>ROUND(J298*E298,2)</f>
        <v>375.8</v>
      </c>
      <c r="L298" s="135"/>
      <c r="M298" s="139">
        <v>1</v>
      </c>
      <c r="N298" s="139"/>
      <c r="O298" s="139"/>
      <c r="P298" s="37">
        <f>Q298+Q298*R298+S298+T298+U298</f>
        <v>86.495</v>
      </c>
      <c r="Q298" s="99">
        <f>$Q$25</f>
        <v>56.5</v>
      </c>
      <c r="R298" s="163">
        <f>$R$25</f>
        <v>0.03</v>
      </c>
      <c r="S298" s="99">
        <f>$S$25</f>
        <v>22</v>
      </c>
      <c r="T298" s="99">
        <f>$T$25</f>
        <v>6</v>
      </c>
      <c r="U298" s="99">
        <f>$U$25</f>
        <v>0.3</v>
      </c>
      <c r="V298" s="37">
        <f>P298*E298</f>
        <v>341.65525</v>
      </c>
      <c r="W298" s="139"/>
      <c r="X298" s="139"/>
      <c r="Y298" s="139"/>
      <c r="Z298" s="139"/>
      <c r="AA298" s="139"/>
      <c r="AB298" s="139"/>
      <c r="AC298" s="139"/>
      <c r="AD298" s="139"/>
      <c r="AE298" s="139"/>
      <c r="AF298" s="140"/>
      <c r="AG298" s="140"/>
      <c r="AH298" s="140"/>
      <c r="AI298" s="140"/>
      <c r="AJ298" s="140"/>
      <c r="AK298" s="140"/>
      <c r="AL298" s="140"/>
      <c r="AM298" s="140"/>
      <c r="AN298" s="140"/>
      <c r="AO298" s="140"/>
      <c r="AP298" s="140"/>
      <c r="AQ298" s="140"/>
      <c r="AR298" s="140"/>
      <c r="AS298" s="140"/>
      <c r="AT298" s="140"/>
      <c r="AU298" s="140"/>
      <c r="AV298" s="140"/>
      <c r="AW298" s="140"/>
      <c r="AX298" s="140"/>
      <c r="AY298" s="140"/>
      <c r="AZ298" s="140"/>
      <c r="BA298" s="140"/>
      <c r="BB298" s="140"/>
      <c r="BC298" s="140"/>
      <c r="BD298" s="140"/>
      <c r="BE298" s="140"/>
    </row>
    <row r="299" s="119" customFormat="1" ht="48" customHeight="1" outlineLevel="2" spans="1:57">
      <c r="A299" s="162">
        <f>1+N(A298)</f>
        <v>5</v>
      </c>
      <c r="B299" s="165" t="s">
        <v>99</v>
      </c>
      <c r="C299" s="166" t="s">
        <v>100</v>
      </c>
      <c r="D299" s="165" t="s">
        <v>70</v>
      </c>
      <c r="E299" s="143">
        <v>3.95</v>
      </c>
      <c r="F299" s="143">
        <f>$F$26</f>
        <v>12</v>
      </c>
      <c r="G299" s="143">
        <f>$G$26</f>
        <v>23.4325</v>
      </c>
      <c r="H299" s="143">
        <f>$H$26</f>
        <v>3.8</v>
      </c>
      <c r="I299" s="17">
        <f>(F299+G299+H299)*$I$3</f>
        <v>3.92325</v>
      </c>
      <c r="J299" s="18">
        <f>ROUND(SUM(F299:I299),2)</f>
        <v>43.16</v>
      </c>
      <c r="K299" s="19">
        <f>ROUND(J299*E299,2)</f>
        <v>170.48</v>
      </c>
      <c r="L299" s="135"/>
      <c r="M299" s="139">
        <v>1</v>
      </c>
      <c r="N299" s="139"/>
      <c r="O299" s="139"/>
      <c r="P299" s="37">
        <f>Q299+Q299*R299+S299+T299+U299</f>
        <v>39.2325</v>
      </c>
      <c r="Q299" s="99">
        <f>$Q$26</f>
        <v>22.75</v>
      </c>
      <c r="R299" s="163">
        <f>$R$26</f>
        <v>0.03</v>
      </c>
      <c r="S299" s="99">
        <f>$S$26</f>
        <v>12</v>
      </c>
      <c r="T299" s="99">
        <f>$T$26</f>
        <v>3.5</v>
      </c>
      <c r="U299" s="99">
        <f>$U$26</f>
        <v>0.3</v>
      </c>
      <c r="V299" s="37">
        <f>P299*E299</f>
        <v>154.968375</v>
      </c>
      <c r="W299" s="139"/>
      <c r="X299" s="139"/>
      <c r="Y299" s="139"/>
      <c r="Z299" s="139"/>
      <c r="AA299" s="139"/>
      <c r="AB299" s="139"/>
      <c r="AC299" s="139"/>
      <c r="AD299" s="139"/>
      <c r="AE299" s="139"/>
      <c r="AF299" s="140"/>
      <c r="AG299" s="140"/>
      <c r="AH299" s="140"/>
      <c r="AI299" s="140"/>
      <c r="AJ299" s="140"/>
      <c r="AK299" s="140"/>
      <c r="AL299" s="140"/>
      <c r="AM299" s="140"/>
      <c r="AN299" s="140"/>
      <c r="AO299" s="140"/>
      <c r="AP299" s="140"/>
      <c r="AQ299" s="140"/>
      <c r="AR299" s="140"/>
      <c r="AS299" s="140"/>
      <c r="AT299" s="140"/>
      <c r="AU299" s="140"/>
      <c r="AV299" s="140"/>
      <c r="AW299" s="140"/>
      <c r="AX299" s="140"/>
      <c r="AY299" s="140"/>
      <c r="AZ299" s="140"/>
      <c r="BA299" s="140"/>
      <c r="BB299" s="140"/>
      <c r="BC299" s="140"/>
      <c r="BD299" s="140"/>
      <c r="BE299" s="140"/>
    </row>
    <row r="300" s="119" customFormat="1" ht="24" customHeight="1" outlineLevel="1" spans="1:57">
      <c r="A300" s="141"/>
      <c r="B300" s="14" t="s">
        <v>101</v>
      </c>
      <c r="C300" s="15"/>
      <c r="D300" s="142"/>
      <c r="E300" s="143"/>
      <c r="F300" s="143"/>
      <c r="G300" s="143"/>
      <c r="H300" s="143"/>
      <c r="I300" s="143"/>
      <c r="J300" s="143"/>
      <c r="K300" s="144"/>
      <c r="L300" s="135"/>
      <c r="M300" s="139"/>
      <c r="N300" s="139"/>
      <c r="O300" s="139"/>
      <c r="P300" s="137"/>
      <c r="Q300" s="137"/>
      <c r="R300" s="138"/>
      <c r="S300" s="137"/>
      <c r="T300" s="137"/>
      <c r="U300" s="137"/>
      <c r="V300" s="137"/>
      <c r="W300" s="139"/>
      <c r="X300" s="139"/>
      <c r="Y300" s="139"/>
      <c r="Z300" s="139"/>
      <c r="AA300" s="139"/>
      <c r="AB300" s="139"/>
      <c r="AC300" s="139"/>
      <c r="AD300" s="139"/>
      <c r="AE300" s="139"/>
      <c r="AF300" s="140"/>
      <c r="AG300" s="140"/>
      <c r="AH300" s="140"/>
      <c r="AI300" s="140"/>
      <c r="AJ300" s="140"/>
      <c r="AK300" s="140"/>
      <c r="AL300" s="140"/>
      <c r="AM300" s="140"/>
      <c r="AN300" s="140"/>
      <c r="AO300" s="140"/>
      <c r="AP300" s="140"/>
      <c r="AQ300" s="140"/>
      <c r="AR300" s="140"/>
      <c r="AS300" s="140"/>
      <c r="AT300" s="140"/>
      <c r="AU300" s="140"/>
      <c r="AV300" s="140"/>
      <c r="AW300" s="140"/>
      <c r="AX300" s="140"/>
      <c r="AY300" s="140"/>
      <c r="AZ300" s="140"/>
      <c r="BA300" s="140"/>
      <c r="BB300" s="140"/>
      <c r="BC300" s="140"/>
      <c r="BD300" s="140"/>
      <c r="BE300" s="140"/>
    </row>
    <row r="301" s="119" customFormat="1" ht="96" customHeight="1" outlineLevel="2" spans="1:57">
      <c r="A301" s="162">
        <f>1+N(A300)</f>
        <v>1</v>
      </c>
      <c r="B301" s="14" t="s">
        <v>102</v>
      </c>
      <c r="C301" s="167" t="s">
        <v>103</v>
      </c>
      <c r="D301" s="142" t="s">
        <v>63</v>
      </c>
      <c r="E301" s="143">
        <v>2.42</v>
      </c>
      <c r="F301" s="143">
        <f>$F$28</f>
        <v>70</v>
      </c>
      <c r="G301" s="143">
        <f>$G$28</f>
        <v>0</v>
      </c>
      <c r="H301" s="143">
        <f>$H$28</f>
        <v>66.711</v>
      </c>
      <c r="I301" s="17">
        <f>(F301+G301+H301)*$I$3</f>
        <v>13.6711</v>
      </c>
      <c r="J301" s="18">
        <f>ROUND(SUM(F301:I301),2)</f>
        <v>150.38</v>
      </c>
      <c r="K301" s="19">
        <f>ROUND(J301*E301,2)</f>
        <v>363.92</v>
      </c>
      <c r="L301" s="135"/>
      <c r="M301" s="139">
        <v>1</v>
      </c>
      <c r="N301" s="139"/>
      <c r="O301" s="139"/>
      <c r="P301" s="37">
        <f>Q301+Q301*R301+S301+T301+U301</f>
        <v>136.711</v>
      </c>
      <c r="Q301" s="99">
        <f>$Q$28</f>
        <v>0</v>
      </c>
      <c r="R301" s="163">
        <f>$R$28</f>
        <v>0.01</v>
      </c>
      <c r="S301" s="99">
        <f>$S$28</f>
        <v>70</v>
      </c>
      <c r="T301" s="99">
        <f>$T$28</f>
        <v>64.711</v>
      </c>
      <c r="U301" s="99">
        <f>$U$28</f>
        <v>2</v>
      </c>
      <c r="V301" s="37">
        <f>P301*E301</f>
        <v>330.84062</v>
      </c>
      <c r="W301" s="139"/>
      <c r="X301" s="139"/>
      <c r="Y301" s="139"/>
      <c r="Z301" s="139"/>
      <c r="AA301" s="139"/>
      <c r="AB301" s="139"/>
      <c r="AC301" s="139"/>
      <c r="AD301" s="139"/>
      <c r="AE301" s="139"/>
      <c r="AF301" s="140"/>
      <c r="AG301" s="140"/>
      <c r="AH301" s="140"/>
      <c r="AI301" s="140"/>
      <c r="AJ301" s="140"/>
      <c r="AK301" s="140"/>
      <c r="AL301" s="140"/>
      <c r="AM301" s="140"/>
      <c r="AN301" s="140"/>
      <c r="AO301" s="140"/>
      <c r="AP301" s="140"/>
      <c r="AQ301" s="140"/>
      <c r="AR301" s="140"/>
      <c r="AS301" s="140"/>
      <c r="AT301" s="140"/>
      <c r="AU301" s="140"/>
      <c r="AV301" s="140"/>
      <c r="AW301" s="140"/>
      <c r="AX301" s="140"/>
      <c r="AY301" s="140"/>
      <c r="AZ301" s="140"/>
      <c r="BA301" s="140"/>
      <c r="BB301" s="140"/>
      <c r="BC301" s="140"/>
      <c r="BD301" s="140"/>
      <c r="BE301" s="140"/>
    </row>
    <row r="302" s="119" customFormat="1" ht="72" customHeight="1" outlineLevel="2" spans="1:57">
      <c r="A302" s="162">
        <f>1+N(A301)</f>
        <v>2</v>
      </c>
      <c r="B302" s="14" t="s">
        <v>110</v>
      </c>
      <c r="C302" s="167" t="s">
        <v>111</v>
      </c>
      <c r="D302" s="142" t="s">
        <v>63</v>
      </c>
      <c r="E302" s="143">
        <v>2.42</v>
      </c>
      <c r="F302" s="143">
        <f>$F$32</f>
        <v>45</v>
      </c>
      <c r="G302" s="143">
        <f>$G$32</f>
        <v>85.5</v>
      </c>
      <c r="H302" s="143">
        <f>$H$32</f>
        <v>7.3</v>
      </c>
      <c r="I302" s="17">
        <f>(F302+G302+H302)*$I$3</f>
        <v>13.78</v>
      </c>
      <c r="J302" s="18">
        <f>ROUND(SUM(F302:I302),2)</f>
        <v>151.58</v>
      </c>
      <c r="K302" s="19">
        <f>ROUND(J302*E302,2)</f>
        <v>366.82</v>
      </c>
      <c r="L302" s="135"/>
      <c r="M302" s="139">
        <v>1</v>
      </c>
      <c r="N302" s="139"/>
      <c r="O302" s="139"/>
      <c r="P302" s="37">
        <f>Q302+Q302*R302+S302+T302+U302</f>
        <v>137.8</v>
      </c>
      <c r="Q302" s="99">
        <f>$Q$32</f>
        <v>85.5</v>
      </c>
      <c r="R302" s="163">
        <f>$R$32</f>
        <v>0</v>
      </c>
      <c r="S302" s="99">
        <f>$S$32</f>
        <v>45</v>
      </c>
      <c r="T302" s="99">
        <f>$T$32</f>
        <v>6.5</v>
      </c>
      <c r="U302" s="99">
        <f>$U$32</f>
        <v>0.8</v>
      </c>
      <c r="V302" s="37">
        <f>P302*E302</f>
        <v>333.476</v>
      </c>
      <c r="W302" s="139"/>
      <c r="X302" s="139"/>
      <c r="Y302" s="139"/>
      <c r="Z302" s="139"/>
      <c r="AA302" s="139"/>
      <c r="AB302" s="139"/>
      <c r="AC302" s="139"/>
      <c r="AD302" s="139"/>
      <c r="AE302" s="139"/>
      <c r="AF302" s="140"/>
      <c r="AG302" s="140"/>
      <c r="AH302" s="140"/>
      <c r="AI302" s="140"/>
      <c r="AJ302" s="140"/>
      <c r="AK302" s="140"/>
      <c r="AL302" s="140"/>
      <c r="AM302" s="140"/>
      <c r="AN302" s="140"/>
      <c r="AO302" s="140"/>
      <c r="AP302" s="140"/>
      <c r="AQ302" s="140"/>
      <c r="AR302" s="140"/>
      <c r="AS302" s="140"/>
      <c r="AT302" s="140"/>
      <c r="AU302" s="140"/>
      <c r="AV302" s="140"/>
      <c r="AW302" s="140"/>
      <c r="AX302" s="140"/>
      <c r="AY302" s="140"/>
      <c r="AZ302" s="140"/>
      <c r="BA302" s="140"/>
      <c r="BB302" s="140"/>
      <c r="BC302" s="140"/>
      <c r="BD302" s="140"/>
      <c r="BE302" s="140"/>
    </row>
    <row r="303" s="119" customFormat="1" ht="24" customHeight="1" outlineLevel="1" spans="1:57">
      <c r="A303" s="141"/>
      <c r="B303" s="14" t="s">
        <v>112</v>
      </c>
      <c r="C303" s="15"/>
      <c r="D303" s="142"/>
      <c r="E303" s="143"/>
      <c r="F303" s="143"/>
      <c r="G303" s="143"/>
      <c r="H303" s="143"/>
      <c r="I303" s="143"/>
      <c r="J303" s="143"/>
      <c r="K303" s="144"/>
      <c r="L303" s="135"/>
      <c r="M303" s="139"/>
      <c r="N303" s="139"/>
      <c r="O303" s="139"/>
      <c r="P303" s="137"/>
      <c r="Q303" s="137"/>
      <c r="R303" s="138"/>
      <c r="S303" s="137"/>
      <c r="T303" s="137"/>
      <c r="U303" s="137"/>
      <c r="V303" s="137"/>
      <c r="W303" s="139"/>
      <c r="X303" s="139"/>
      <c r="Y303" s="139"/>
      <c r="Z303" s="139"/>
      <c r="AA303" s="139"/>
      <c r="AB303" s="139"/>
      <c r="AC303" s="139"/>
      <c r="AD303" s="139"/>
      <c r="AE303" s="139"/>
      <c r="AF303" s="140"/>
      <c r="AG303" s="140"/>
      <c r="AH303" s="140"/>
      <c r="AI303" s="140"/>
      <c r="AJ303" s="140"/>
      <c r="AK303" s="140"/>
      <c r="AL303" s="140"/>
      <c r="AM303" s="140"/>
      <c r="AN303" s="140"/>
      <c r="AO303" s="140"/>
      <c r="AP303" s="140"/>
      <c r="AQ303" s="140"/>
      <c r="AR303" s="140"/>
      <c r="AS303" s="140"/>
      <c r="AT303" s="140"/>
      <c r="AU303" s="140"/>
      <c r="AV303" s="140"/>
      <c r="AW303" s="140"/>
      <c r="AX303" s="140"/>
      <c r="AY303" s="140"/>
      <c r="AZ303" s="140"/>
      <c r="BA303" s="140"/>
      <c r="BB303" s="140"/>
      <c r="BC303" s="140"/>
      <c r="BD303" s="140"/>
      <c r="BE303" s="140"/>
    </row>
    <row r="304" s="119" customFormat="1" ht="60" customHeight="1" outlineLevel="2" spans="1:57">
      <c r="A304" s="145">
        <f>1+N(A303)</f>
        <v>1</v>
      </c>
      <c r="B304" s="146" t="s">
        <v>208</v>
      </c>
      <c r="C304" s="160" t="s">
        <v>209</v>
      </c>
      <c r="D304" s="148" t="s">
        <v>63</v>
      </c>
      <c r="E304" s="149">
        <f>1.24*3</f>
        <v>3.72</v>
      </c>
      <c r="F304" s="149">
        <f>S304*$S$1</f>
        <v>145</v>
      </c>
      <c r="G304" s="149">
        <f>Q304*(1+R304)*$Q$1</f>
        <v>1250</v>
      </c>
      <c r="H304" s="149">
        <f>(T304+U304)*$T$1</f>
        <v>31.5</v>
      </c>
      <c r="I304" s="150">
        <f>(F304+G304+H304)*$I$3</f>
        <v>142.65</v>
      </c>
      <c r="J304" s="151">
        <f>ROUND(SUM(F304:I304),2)</f>
        <v>1569.15</v>
      </c>
      <c r="K304" s="152">
        <f>ROUND(J304*E304,2)</f>
        <v>5837.24</v>
      </c>
      <c r="L304" s="153"/>
      <c r="M304" s="139">
        <v>1</v>
      </c>
      <c r="N304" s="139"/>
      <c r="O304" s="139"/>
      <c r="P304" s="37">
        <f>Q304+Q304*R304+S304+T304+U304</f>
        <v>1426.5</v>
      </c>
      <c r="Q304" s="71">
        <v>1250</v>
      </c>
      <c r="R304" s="157">
        <v>0</v>
      </c>
      <c r="S304" s="71">
        <v>145</v>
      </c>
      <c r="T304" s="71">
        <v>30</v>
      </c>
      <c r="U304" s="71">
        <v>1.5</v>
      </c>
      <c r="V304" s="37">
        <f>P304*E304</f>
        <v>5306.58</v>
      </c>
      <c r="W304" s="139"/>
      <c r="X304" s="139"/>
      <c r="Y304" s="139"/>
      <c r="Z304" s="139"/>
      <c r="AA304" s="139"/>
      <c r="AB304" s="139"/>
      <c r="AC304" s="139"/>
      <c r="AD304" s="139"/>
      <c r="AE304" s="139"/>
      <c r="AF304" s="140"/>
      <c r="AG304" s="140"/>
      <c r="AH304" s="140"/>
      <c r="AI304" s="140"/>
      <c r="AJ304" s="140"/>
      <c r="AK304" s="140"/>
      <c r="AL304" s="140"/>
      <c r="AM304" s="140"/>
      <c r="AN304" s="140"/>
      <c r="AO304" s="140"/>
      <c r="AP304" s="140"/>
      <c r="AQ304" s="140"/>
      <c r="AR304" s="140"/>
      <c r="AS304" s="140"/>
      <c r="AT304" s="140"/>
      <c r="AU304" s="140"/>
      <c r="AV304" s="140"/>
      <c r="AW304" s="140"/>
      <c r="AX304" s="140"/>
      <c r="AY304" s="140"/>
      <c r="AZ304" s="140"/>
      <c r="BA304" s="140"/>
      <c r="BB304" s="140"/>
      <c r="BC304" s="140"/>
      <c r="BD304" s="140"/>
      <c r="BE304" s="140"/>
    </row>
    <row r="305" s="119" customFormat="1" ht="24" customHeight="1" outlineLevel="1" spans="1:57">
      <c r="A305" s="132" t="s">
        <v>159</v>
      </c>
      <c r="B305" s="8" t="s">
        <v>210</v>
      </c>
      <c r="C305" s="8"/>
      <c r="D305" s="133"/>
      <c r="E305" s="134"/>
      <c r="F305" s="134"/>
      <c r="G305" s="134"/>
      <c r="H305" s="134"/>
      <c r="I305" s="134"/>
      <c r="J305" s="134"/>
      <c r="K305" s="11"/>
      <c r="L305" s="135"/>
      <c r="M305" s="139"/>
      <c r="N305" s="139"/>
      <c r="O305" s="170" t="str">
        <f>_xlfn.DISPIMG("ID_E365E80EDA8E47118816E377B5229A08",1)</f>
        <v>=DISPIMG("ID_E365E80EDA8E47118816E377B5229A08",1)</v>
      </c>
      <c r="P305" s="137"/>
      <c r="Q305" s="137"/>
      <c r="R305" s="138"/>
      <c r="S305" s="137"/>
      <c r="T305" s="137"/>
      <c r="U305" s="137"/>
      <c r="V305" s="137"/>
      <c r="W305" s="139"/>
      <c r="X305" s="139"/>
      <c r="Y305" s="139"/>
      <c r="Z305" s="139"/>
      <c r="AA305" s="139"/>
      <c r="AB305" s="139"/>
      <c r="AC305" s="139"/>
      <c r="AD305" s="139"/>
      <c r="AE305" s="139"/>
      <c r="AF305" s="140"/>
      <c r="AG305" s="140"/>
      <c r="AH305" s="140"/>
      <c r="AI305" s="140"/>
      <c r="AJ305" s="140"/>
      <c r="AK305" s="140"/>
      <c r="AL305" s="140"/>
      <c r="AM305" s="140"/>
      <c r="AN305" s="140"/>
      <c r="AO305" s="140"/>
      <c r="AP305" s="140"/>
      <c r="AQ305" s="140"/>
      <c r="AR305" s="140"/>
      <c r="AS305" s="140"/>
      <c r="AT305" s="140"/>
      <c r="AU305" s="140"/>
      <c r="AV305" s="140"/>
      <c r="AW305" s="140"/>
      <c r="AX305" s="140"/>
      <c r="AY305" s="140"/>
      <c r="AZ305" s="140"/>
      <c r="BA305" s="140"/>
      <c r="BB305" s="140"/>
      <c r="BC305" s="140"/>
      <c r="BD305" s="140"/>
      <c r="BE305" s="140"/>
    </row>
    <row r="306" s="119" customFormat="1" ht="24" customHeight="1" outlineLevel="1" spans="1:57">
      <c r="A306" s="141"/>
      <c r="B306" s="14" t="s">
        <v>60</v>
      </c>
      <c r="C306" s="15"/>
      <c r="D306" s="142"/>
      <c r="E306" s="143"/>
      <c r="F306" s="143"/>
      <c r="G306" s="143"/>
      <c r="H306" s="143"/>
      <c r="I306" s="143"/>
      <c r="J306" s="143"/>
      <c r="K306" s="144"/>
      <c r="L306" s="135"/>
      <c r="M306" s="139"/>
      <c r="N306" s="139"/>
      <c r="O306" s="139"/>
      <c r="P306" s="137"/>
      <c r="Q306" s="137"/>
      <c r="R306" s="138"/>
      <c r="S306" s="137"/>
      <c r="T306" s="137"/>
      <c r="U306" s="137"/>
      <c r="V306" s="137"/>
      <c r="W306" s="139"/>
      <c r="X306" s="139"/>
      <c r="Y306" s="139"/>
      <c r="Z306" s="139"/>
      <c r="AA306" s="139"/>
      <c r="AB306" s="139"/>
      <c r="AC306" s="139"/>
      <c r="AD306" s="139"/>
      <c r="AE306" s="139"/>
      <c r="AF306" s="140"/>
      <c r="AG306" s="140"/>
      <c r="AH306" s="140"/>
      <c r="AI306" s="140"/>
      <c r="AJ306" s="140"/>
      <c r="AK306" s="140"/>
      <c r="AL306" s="140"/>
      <c r="AM306" s="140"/>
      <c r="AN306" s="140"/>
      <c r="AO306" s="140"/>
      <c r="AP306" s="140"/>
      <c r="AQ306" s="140"/>
      <c r="AR306" s="140"/>
      <c r="AS306" s="140"/>
      <c r="AT306" s="140"/>
      <c r="AU306" s="140"/>
      <c r="AV306" s="140"/>
      <c r="AW306" s="140"/>
      <c r="AX306" s="140"/>
      <c r="AY306" s="140"/>
      <c r="AZ306" s="140"/>
      <c r="BA306" s="140"/>
      <c r="BB306" s="140"/>
      <c r="BC306" s="140"/>
      <c r="BD306" s="140"/>
      <c r="BE306" s="140"/>
    </row>
    <row r="307" s="119" customFormat="1" ht="96" customHeight="1" outlineLevel="2" spans="1:57">
      <c r="A307" s="162">
        <f>1+N(A306)</f>
        <v>1</v>
      </c>
      <c r="B307" s="14" t="s">
        <v>61</v>
      </c>
      <c r="C307" s="15" t="s">
        <v>62</v>
      </c>
      <c r="D307" s="142" t="s">
        <v>63</v>
      </c>
      <c r="E307" s="143">
        <v>16.8</v>
      </c>
      <c r="F307" s="143">
        <f>$F$7</f>
        <v>130</v>
      </c>
      <c r="G307" s="143">
        <f>$G$7</f>
        <v>628.3</v>
      </c>
      <c r="H307" s="17">
        <f>$H$7</f>
        <v>47.7</v>
      </c>
      <c r="I307" s="17">
        <f>(F307+G307+H307)*$I$3</f>
        <v>80.6</v>
      </c>
      <c r="J307" s="18">
        <f>ROUND(SUM(F307:I307),2)</f>
        <v>886.6</v>
      </c>
      <c r="K307" s="19">
        <f>ROUND(J307*E307,2)</f>
        <v>14894.88</v>
      </c>
      <c r="L307" s="135"/>
      <c r="M307" s="139">
        <v>1</v>
      </c>
      <c r="N307" s="139"/>
      <c r="O307" s="139"/>
      <c r="P307" s="37">
        <f>Q307+Q307*R307+S307+T307+U307</f>
        <v>806</v>
      </c>
      <c r="Q307" s="99">
        <f>$Q$7</f>
        <v>610</v>
      </c>
      <c r="R307" s="163">
        <f>$R$7</f>
        <v>0.03</v>
      </c>
      <c r="S307" s="99">
        <f>$S$7</f>
        <v>130</v>
      </c>
      <c r="T307" s="99">
        <f>$T$7</f>
        <v>46.2</v>
      </c>
      <c r="U307" s="99">
        <f>$U$7</f>
        <v>1.5</v>
      </c>
      <c r="V307" s="37">
        <f>P307*E307</f>
        <v>13540.8</v>
      </c>
      <c r="W307" s="139"/>
      <c r="X307" s="139"/>
      <c r="Y307" s="139"/>
      <c r="Z307" s="139"/>
      <c r="AA307" s="139"/>
      <c r="AB307" s="139"/>
      <c r="AC307" s="139"/>
      <c r="AD307" s="139"/>
      <c r="AE307" s="139"/>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row>
    <row r="308" s="119" customFormat="1" ht="108" customHeight="1" outlineLevel="2" spans="1:57">
      <c r="A308" s="162">
        <f>1+N(A307)</f>
        <v>2</v>
      </c>
      <c r="B308" s="14" t="s">
        <v>64</v>
      </c>
      <c r="C308" s="15" t="s">
        <v>65</v>
      </c>
      <c r="D308" s="142" t="s">
        <v>63</v>
      </c>
      <c r="E308" s="143">
        <v>8.1</v>
      </c>
      <c r="F308" s="143">
        <f>$F$8</f>
        <v>130</v>
      </c>
      <c r="G308" s="143">
        <f>$G$8</f>
        <v>854.9</v>
      </c>
      <c r="H308" s="143">
        <f>$H$8</f>
        <v>47.7</v>
      </c>
      <c r="I308" s="17">
        <f>(F308+G308+H308)*$I$3</f>
        <v>103.26</v>
      </c>
      <c r="J308" s="18">
        <f>ROUND(SUM(F308:I308),2)</f>
        <v>1135.86</v>
      </c>
      <c r="K308" s="19">
        <f>ROUND(J308*E308,2)</f>
        <v>9200.47</v>
      </c>
      <c r="L308" s="135"/>
      <c r="M308" s="139">
        <v>1</v>
      </c>
      <c r="N308" s="139"/>
      <c r="O308" s="139"/>
      <c r="P308" s="37">
        <f>Q308+Q308*R308+S308+T308+U308</f>
        <v>1032.6</v>
      </c>
      <c r="Q308" s="99">
        <f>$Q$8</f>
        <v>830</v>
      </c>
      <c r="R308" s="163">
        <f>$R$8</f>
        <v>0.03</v>
      </c>
      <c r="S308" s="99">
        <f>$S$8</f>
        <v>130</v>
      </c>
      <c r="T308" s="99">
        <f>$T$8</f>
        <v>46.2</v>
      </c>
      <c r="U308" s="99">
        <f>$U$8</f>
        <v>1.5</v>
      </c>
      <c r="V308" s="37">
        <f>P308*E308</f>
        <v>8364.06</v>
      </c>
      <c r="W308" s="139"/>
      <c r="X308" s="139"/>
      <c r="Y308" s="139"/>
      <c r="Z308" s="139"/>
      <c r="AA308" s="139"/>
      <c r="AB308" s="139"/>
      <c r="AC308" s="139"/>
      <c r="AD308" s="139"/>
      <c r="AE308" s="139"/>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row>
    <row r="309" s="119" customFormat="1" ht="36" customHeight="1" outlineLevel="2" spans="1:57">
      <c r="A309" s="162">
        <f>1+N(A308)</f>
        <v>3</v>
      </c>
      <c r="B309" s="14" t="s">
        <v>68</v>
      </c>
      <c r="C309" s="15" t="s">
        <v>69</v>
      </c>
      <c r="D309" s="142" t="s">
        <v>70</v>
      </c>
      <c r="E309" s="143">
        <v>10.75</v>
      </c>
      <c r="F309" s="143">
        <f>$F$10</f>
        <v>12</v>
      </c>
      <c r="G309" s="143">
        <f>$G$10</f>
        <v>19.57</v>
      </c>
      <c r="H309" s="143">
        <f>$H$10</f>
        <v>0.5</v>
      </c>
      <c r="I309" s="17">
        <f>(F309+G309+H309)*$I$3</f>
        <v>3.207</v>
      </c>
      <c r="J309" s="18">
        <f>ROUND(SUM(F309:I309),2)</f>
        <v>35.28</v>
      </c>
      <c r="K309" s="19">
        <f>ROUND(J309*E309,2)</f>
        <v>379.26</v>
      </c>
      <c r="L309" s="135"/>
      <c r="M309" s="139">
        <v>1</v>
      </c>
      <c r="N309" s="139"/>
      <c r="O309" s="139"/>
      <c r="P309" s="37">
        <f>Q309+Q309*R309+S309+T309+U309</f>
        <v>32.07</v>
      </c>
      <c r="Q309" s="99">
        <f>$Q$10</f>
        <v>19</v>
      </c>
      <c r="R309" s="163">
        <f>$R$10</f>
        <v>0.03</v>
      </c>
      <c r="S309" s="99">
        <f>$S$10</f>
        <v>12</v>
      </c>
      <c r="T309" s="99">
        <f>$T$10</f>
        <v>0.3</v>
      </c>
      <c r="U309" s="99">
        <f>$U$10</f>
        <v>0.2</v>
      </c>
      <c r="V309" s="37">
        <f>P309*E309</f>
        <v>344.7525</v>
      </c>
      <c r="W309" s="139"/>
      <c r="X309" s="139"/>
      <c r="Y309" s="139"/>
      <c r="Z309" s="139"/>
      <c r="AA309" s="139"/>
      <c r="AB309" s="139"/>
      <c r="AC309" s="139"/>
      <c r="AD309" s="139"/>
      <c r="AE309" s="139"/>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row>
    <row r="310" s="119" customFormat="1" ht="48" customHeight="1" outlineLevel="2" spans="1:57">
      <c r="A310" s="162">
        <f>1+N(A309)</f>
        <v>4</v>
      </c>
      <c r="B310" s="14" t="s">
        <v>71</v>
      </c>
      <c r="C310" s="15" t="s">
        <v>72</v>
      </c>
      <c r="D310" s="142" t="s">
        <v>63</v>
      </c>
      <c r="E310" s="143">
        <v>24.9</v>
      </c>
      <c r="F310" s="143">
        <f>$F$11</f>
        <v>40</v>
      </c>
      <c r="G310" s="143">
        <f>$G$11</f>
        <v>15</v>
      </c>
      <c r="H310" s="143">
        <f>$H$11</f>
        <v>0.8</v>
      </c>
      <c r="I310" s="17">
        <f>(F310+G310+H310)*$I$3</f>
        <v>5.58</v>
      </c>
      <c r="J310" s="18">
        <f>ROUND(SUM(F310:I310),2)</f>
        <v>61.38</v>
      </c>
      <c r="K310" s="19">
        <f>ROUND(J310*E310,2)</f>
        <v>1528.36</v>
      </c>
      <c r="L310" s="135"/>
      <c r="M310" s="139">
        <v>1</v>
      </c>
      <c r="N310" s="139"/>
      <c r="O310" s="139"/>
      <c r="P310" s="37">
        <f>Q310+Q310*R310+S310+T310+U310</f>
        <v>55.8</v>
      </c>
      <c r="Q310" s="99">
        <f>$Q$11</f>
        <v>15</v>
      </c>
      <c r="R310" s="163">
        <f>$R$11</f>
        <v>0</v>
      </c>
      <c r="S310" s="99">
        <f>$S$11</f>
        <v>40</v>
      </c>
      <c r="T310" s="99">
        <f>$T$11</f>
        <v>0.5</v>
      </c>
      <c r="U310" s="99">
        <f>$U$11</f>
        <v>0.3</v>
      </c>
      <c r="V310" s="37">
        <f>P310*E310</f>
        <v>1389.42</v>
      </c>
      <c r="W310" s="139"/>
      <c r="X310" s="139"/>
      <c r="Y310" s="139"/>
      <c r="Z310" s="139"/>
      <c r="AA310" s="139"/>
      <c r="AB310" s="139"/>
      <c r="AC310" s="139"/>
      <c r="AD310" s="139"/>
      <c r="AE310" s="139"/>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row>
    <row r="311" s="119" customFormat="1" ht="24" customHeight="1" outlineLevel="1" spans="1:57">
      <c r="A311" s="141"/>
      <c r="B311" s="14" t="s">
        <v>73</v>
      </c>
      <c r="C311" s="15"/>
      <c r="D311" s="142"/>
      <c r="E311" s="143"/>
      <c r="F311" s="143"/>
      <c r="G311" s="143"/>
      <c r="H311" s="143"/>
      <c r="I311" s="143"/>
      <c r="J311" s="143"/>
      <c r="K311" s="144"/>
      <c r="L311" s="135"/>
      <c r="M311" s="139"/>
      <c r="N311" s="139"/>
      <c r="O311" s="139"/>
      <c r="P311" s="137"/>
      <c r="Q311" s="137"/>
      <c r="R311" s="138"/>
      <c r="S311" s="137"/>
      <c r="T311" s="137"/>
      <c r="U311" s="137"/>
      <c r="V311" s="137"/>
      <c r="W311" s="139"/>
      <c r="X311" s="139"/>
      <c r="Y311" s="139"/>
      <c r="Z311" s="139"/>
      <c r="AA311" s="139"/>
      <c r="AB311" s="139"/>
      <c r="AC311" s="139"/>
      <c r="AD311" s="139"/>
      <c r="AE311" s="139"/>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row>
    <row r="312" s="119" customFormat="1" ht="72" customHeight="1" outlineLevel="2" spans="1:57">
      <c r="A312" s="162">
        <f t="shared" ref="A312:A321" si="75">1+N(A311)</f>
        <v>1</v>
      </c>
      <c r="B312" s="164" t="s">
        <v>74</v>
      </c>
      <c r="C312" s="15" t="s">
        <v>75</v>
      </c>
      <c r="D312" s="142" t="s">
        <v>63</v>
      </c>
      <c r="E312" s="143">
        <v>13.085</v>
      </c>
      <c r="F312" s="143">
        <f>$F$13</f>
        <v>95</v>
      </c>
      <c r="G312" s="143">
        <f>$G$13</f>
        <v>813.75</v>
      </c>
      <c r="H312" s="143">
        <f>$H$13</f>
        <v>18.3</v>
      </c>
      <c r="I312" s="17">
        <f t="shared" ref="I312:I321" si="76">(F312+G312+H312)*$I$3</f>
        <v>92.705</v>
      </c>
      <c r="J312" s="18">
        <f t="shared" ref="J312:J321" si="77">ROUND(SUM(F312:I312),2)</f>
        <v>1019.76</v>
      </c>
      <c r="K312" s="19">
        <f t="shared" ref="K312:K321" si="78">ROUND(J312*E312,2)</f>
        <v>13343.56</v>
      </c>
      <c r="L312" s="135"/>
      <c r="M312" s="139">
        <v>1</v>
      </c>
      <c r="N312" s="139"/>
      <c r="O312" s="139"/>
      <c r="P312" s="37">
        <f t="shared" ref="P312:P321" si="79">Q312+Q312*R312+S312+T312+U312</f>
        <v>927.05</v>
      </c>
      <c r="Q312" s="99">
        <f>$Q$13</f>
        <v>775</v>
      </c>
      <c r="R312" s="163">
        <f>$R$13</f>
        <v>0.05</v>
      </c>
      <c r="S312" s="99">
        <f>$S$13</f>
        <v>95</v>
      </c>
      <c r="T312" s="99">
        <f>$T$13</f>
        <v>16.8</v>
      </c>
      <c r="U312" s="99">
        <f>$U$13</f>
        <v>1.5</v>
      </c>
      <c r="V312" s="37">
        <f t="shared" ref="V312:V321" si="80">P312*E312</f>
        <v>12130.44925</v>
      </c>
      <c r="W312" s="139"/>
      <c r="X312" s="139"/>
      <c r="Y312" s="139"/>
      <c r="Z312" s="139"/>
      <c r="AA312" s="139"/>
      <c r="AB312" s="139"/>
      <c r="AC312" s="139"/>
      <c r="AD312" s="139"/>
      <c r="AE312" s="139"/>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row>
    <row r="313" s="119" customFormat="1" ht="96" customHeight="1" outlineLevel="2" spans="1:57">
      <c r="A313" s="162">
        <f t="shared" si="75"/>
        <v>2</v>
      </c>
      <c r="B313" s="165" t="s">
        <v>76</v>
      </c>
      <c r="C313" s="166" t="s">
        <v>77</v>
      </c>
      <c r="D313" s="142" t="s">
        <v>63</v>
      </c>
      <c r="E313" s="143">
        <f>56.629+0.727</f>
        <v>57.356</v>
      </c>
      <c r="F313" s="143">
        <f>$F$14</f>
        <v>145</v>
      </c>
      <c r="G313" s="143">
        <f>$G$14</f>
        <v>651</v>
      </c>
      <c r="H313" s="143">
        <f>$H$14</f>
        <v>113.55</v>
      </c>
      <c r="I313" s="17">
        <f t="shared" si="76"/>
        <v>90.955</v>
      </c>
      <c r="J313" s="18">
        <f t="shared" si="77"/>
        <v>1000.51</v>
      </c>
      <c r="K313" s="19">
        <f t="shared" si="78"/>
        <v>57385.25</v>
      </c>
      <c r="L313" s="135"/>
      <c r="M313" s="139">
        <v>1</v>
      </c>
      <c r="N313" s="139"/>
      <c r="O313" s="139"/>
      <c r="P313" s="37">
        <f t="shared" si="79"/>
        <v>909.55</v>
      </c>
      <c r="Q313" s="99">
        <f>$Q$14</f>
        <v>620</v>
      </c>
      <c r="R313" s="163">
        <f>$R$14</f>
        <v>0.05</v>
      </c>
      <c r="S313" s="99">
        <f>$S$14</f>
        <v>145</v>
      </c>
      <c r="T313" s="99">
        <f>$T$14</f>
        <v>111.75</v>
      </c>
      <c r="U313" s="99">
        <f>$U$14</f>
        <v>1.8</v>
      </c>
      <c r="V313" s="37">
        <f t="shared" si="80"/>
        <v>52168.1498</v>
      </c>
      <c r="W313" s="139"/>
      <c r="X313" s="139"/>
      <c r="Y313" s="139"/>
      <c r="Z313" s="139"/>
      <c r="AA313" s="139"/>
      <c r="AB313" s="139"/>
      <c r="AC313" s="139"/>
      <c r="AD313" s="139"/>
      <c r="AE313" s="139"/>
      <c r="AF313" s="140"/>
      <c r="AG313" s="140"/>
      <c r="AH313" s="140"/>
      <c r="AI313" s="140"/>
      <c r="AJ313" s="140"/>
      <c r="AK313" s="140"/>
      <c r="AL313" s="140"/>
      <c r="AM313" s="140"/>
      <c r="AN313" s="140"/>
      <c r="AO313" s="140"/>
      <c r="AP313" s="140"/>
      <c r="AQ313" s="140"/>
      <c r="AR313" s="140"/>
      <c r="AS313" s="140"/>
      <c r="AT313" s="140"/>
      <c r="AU313" s="140"/>
      <c r="AV313" s="140"/>
      <c r="AW313" s="140"/>
      <c r="AX313" s="140"/>
      <c r="AY313" s="140"/>
      <c r="AZ313" s="140"/>
      <c r="BA313" s="140"/>
      <c r="BB313" s="140"/>
      <c r="BC313" s="140"/>
      <c r="BD313" s="140"/>
      <c r="BE313" s="140"/>
    </row>
    <row r="314" s="119" customFormat="1" ht="96" customHeight="1" outlineLevel="2" spans="1:57">
      <c r="A314" s="162">
        <f t="shared" si="75"/>
        <v>3</v>
      </c>
      <c r="B314" s="165" t="s">
        <v>78</v>
      </c>
      <c r="C314" s="166" t="s">
        <v>79</v>
      </c>
      <c r="D314" s="142" t="s">
        <v>63</v>
      </c>
      <c r="E314" s="143">
        <v>2.91</v>
      </c>
      <c r="F314" s="143">
        <f>$F$15</f>
        <v>145</v>
      </c>
      <c r="G314" s="143">
        <f>$G$15</f>
        <v>813.75</v>
      </c>
      <c r="H314" s="143">
        <f>$H$15</f>
        <v>113.55</v>
      </c>
      <c r="I314" s="17">
        <f t="shared" si="76"/>
        <v>107.23</v>
      </c>
      <c r="J314" s="18">
        <f t="shared" si="77"/>
        <v>1179.53</v>
      </c>
      <c r="K314" s="19">
        <f t="shared" si="78"/>
        <v>3432.43</v>
      </c>
      <c r="L314" s="135"/>
      <c r="M314" s="139">
        <v>1</v>
      </c>
      <c r="N314" s="139"/>
      <c r="O314" s="139"/>
      <c r="P314" s="37">
        <f t="shared" si="79"/>
        <v>1072.3</v>
      </c>
      <c r="Q314" s="99">
        <f>$Q$15</f>
        <v>775</v>
      </c>
      <c r="R314" s="163">
        <f>$R$15</f>
        <v>0.05</v>
      </c>
      <c r="S314" s="99">
        <f>$S$15</f>
        <v>145</v>
      </c>
      <c r="T314" s="99">
        <f>$T$15</f>
        <v>111.75</v>
      </c>
      <c r="U314" s="99">
        <f>$U$15</f>
        <v>1.8</v>
      </c>
      <c r="V314" s="37">
        <f t="shared" si="80"/>
        <v>3120.393</v>
      </c>
      <c r="W314" s="139"/>
      <c r="X314" s="139"/>
      <c r="Y314" s="139"/>
      <c r="Z314" s="139"/>
      <c r="AA314" s="139"/>
      <c r="AB314" s="139"/>
      <c r="AC314" s="139"/>
      <c r="AD314" s="139"/>
      <c r="AE314" s="139"/>
      <c r="AF314" s="140"/>
      <c r="AG314" s="140"/>
      <c r="AH314" s="140"/>
      <c r="AI314" s="140"/>
      <c r="AJ314" s="140"/>
      <c r="AK314" s="140"/>
      <c r="AL314" s="140"/>
      <c r="AM314" s="140"/>
      <c r="AN314" s="140"/>
      <c r="AO314" s="140"/>
      <c r="AP314" s="140"/>
      <c r="AQ314" s="140"/>
      <c r="AR314" s="140"/>
      <c r="AS314" s="140"/>
      <c r="AT314" s="140"/>
      <c r="AU314" s="140"/>
      <c r="AV314" s="140"/>
      <c r="AW314" s="140"/>
      <c r="AX314" s="140"/>
      <c r="AY314" s="140"/>
      <c r="AZ314" s="140"/>
      <c r="BA314" s="140"/>
      <c r="BB314" s="140"/>
      <c r="BC314" s="140"/>
      <c r="BD314" s="140"/>
      <c r="BE314" s="140"/>
    </row>
    <row r="315" s="119" customFormat="1" ht="48" customHeight="1" outlineLevel="2" spans="1:57">
      <c r="A315" s="162">
        <f t="shared" si="75"/>
        <v>4</v>
      </c>
      <c r="B315" s="165" t="s">
        <v>84</v>
      </c>
      <c r="C315" s="166" t="s">
        <v>83</v>
      </c>
      <c r="D315" s="165" t="s">
        <v>63</v>
      </c>
      <c r="E315" s="143">
        <f>0.296*3*2*2</f>
        <v>3.552</v>
      </c>
      <c r="F315" s="143">
        <f>$F$18</f>
        <v>110</v>
      </c>
      <c r="G315" s="143">
        <f>$G$18</f>
        <v>454.5</v>
      </c>
      <c r="H315" s="143">
        <f>$H$18</f>
        <v>55.2</v>
      </c>
      <c r="I315" s="17">
        <f t="shared" si="76"/>
        <v>61.97</v>
      </c>
      <c r="J315" s="18">
        <f t="shared" si="77"/>
        <v>681.67</v>
      </c>
      <c r="K315" s="19">
        <f t="shared" si="78"/>
        <v>2421.29</v>
      </c>
      <c r="L315" s="135"/>
      <c r="M315" s="139">
        <v>1</v>
      </c>
      <c r="N315" s="139"/>
      <c r="O315" s="139"/>
      <c r="P315" s="37">
        <f t="shared" si="79"/>
        <v>619.7</v>
      </c>
      <c r="Q315" s="99">
        <f>$Q$18</f>
        <v>450</v>
      </c>
      <c r="R315" s="163">
        <f>$R$18</f>
        <v>0.01</v>
      </c>
      <c r="S315" s="99">
        <f>$S$18</f>
        <v>110</v>
      </c>
      <c r="T315" s="99">
        <f>$T$18</f>
        <v>54</v>
      </c>
      <c r="U315" s="99">
        <f>$U$18</f>
        <v>1.2</v>
      </c>
      <c r="V315" s="37">
        <f t="shared" si="80"/>
        <v>2201.1744</v>
      </c>
      <c r="W315" s="139"/>
      <c r="X315" s="139"/>
      <c r="Y315" s="139"/>
      <c r="Z315" s="139"/>
      <c r="AA315" s="139"/>
      <c r="AB315" s="139"/>
      <c r="AC315" s="139"/>
      <c r="AD315" s="139"/>
      <c r="AE315" s="139"/>
      <c r="AF315" s="140"/>
      <c r="AG315" s="140"/>
      <c r="AH315" s="140"/>
      <c r="AI315" s="140"/>
      <c r="AJ315" s="140"/>
      <c r="AK315" s="140"/>
      <c r="AL315" s="140"/>
      <c r="AM315" s="140"/>
      <c r="AN315" s="140"/>
      <c r="AO315" s="140"/>
      <c r="AP315" s="140"/>
      <c r="AQ315" s="140"/>
      <c r="AR315" s="140"/>
      <c r="AS315" s="140"/>
      <c r="AT315" s="140"/>
      <c r="AU315" s="140"/>
      <c r="AV315" s="140"/>
      <c r="AW315" s="140"/>
      <c r="AX315" s="140"/>
      <c r="AY315" s="140"/>
      <c r="AZ315" s="140"/>
      <c r="BA315" s="140"/>
      <c r="BB315" s="140"/>
      <c r="BC315" s="140"/>
      <c r="BD315" s="140"/>
      <c r="BE315" s="140"/>
    </row>
    <row r="316" s="119" customFormat="1" ht="60" customHeight="1" outlineLevel="2" spans="1:57">
      <c r="A316" s="162">
        <f t="shared" si="75"/>
        <v>5</v>
      </c>
      <c r="B316" s="165" t="s">
        <v>85</v>
      </c>
      <c r="C316" s="166" t="s">
        <v>86</v>
      </c>
      <c r="D316" s="165" t="s">
        <v>63</v>
      </c>
      <c r="E316" s="143">
        <f>+(0.061+0.72+0.114+0.074)*0.95*2</f>
        <v>1.8411</v>
      </c>
      <c r="F316" s="143">
        <f>$F$19</f>
        <v>110</v>
      </c>
      <c r="G316" s="143">
        <f>$G$19</f>
        <v>454.5</v>
      </c>
      <c r="H316" s="143">
        <f>$H$19</f>
        <v>55.2</v>
      </c>
      <c r="I316" s="17">
        <f t="shared" si="76"/>
        <v>61.97</v>
      </c>
      <c r="J316" s="18">
        <f t="shared" si="77"/>
        <v>681.67</v>
      </c>
      <c r="K316" s="19">
        <f t="shared" si="78"/>
        <v>1255.02</v>
      </c>
      <c r="L316" s="135"/>
      <c r="M316" s="139">
        <v>1</v>
      </c>
      <c r="N316" s="139"/>
      <c r="O316" s="139"/>
      <c r="P316" s="37">
        <f t="shared" si="79"/>
        <v>619.7</v>
      </c>
      <c r="Q316" s="99">
        <f>$Q$19</f>
        <v>450</v>
      </c>
      <c r="R316" s="163">
        <f>$R$19</f>
        <v>0.01</v>
      </c>
      <c r="S316" s="99">
        <f>$S$19</f>
        <v>110</v>
      </c>
      <c r="T316" s="99">
        <f>$T$19</f>
        <v>54</v>
      </c>
      <c r="U316" s="99">
        <f>$U$19</f>
        <v>1.2</v>
      </c>
      <c r="V316" s="37">
        <f t="shared" si="80"/>
        <v>1140.92967</v>
      </c>
      <c r="W316" s="139"/>
      <c r="X316" s="139"/>
      <c r="Y316" s="139"/>
      <c r="Z316" s="139"/>
      <c r="AA316" s="139"/>
      <c r="AB316" s="139"/>
      <c r="AC316" s="139"/>
      <c r="AD316" s="139"/>
      <c r="AE316" s="139"/>
      <c r="AF316" s="140"/>
      <c r="AG316" s="140"/>
      <c r="AH316" s="140"/>
      <c r="AI316" s="140"/>
      <c r="AJ316" s="140"/>
      <c r="AK316" s="140"/>
      <c r="AL316" s="140"/>
      <c r="AM316" s="140"/>
      <c r="AN316" s="140"/>
      <c r="AO316" s="140"/>
      <c r="AP316" s="140"/>
      <c r="AQ316" s="140"/>
      <c r="AR316" s="140"/>
      <c r="AS316" s="140"/>
      <c r="AT316" s="140"/>
      <c r="AU316" s="140"/>
      <c r="AV316" s="140"/>
      <c r="AW316" s="140"/>
      <c r="AX316" s="140"/>
      <c r="AY316" s="140"/>
      <c r="AZ316" s="140"/>
      <c r="BA316" s="140"/>
      <c r="BB316" s="140"/>
      <c r="BC316" s="140"/>
      <c r="BD316" s="140"/>
      <c r="BE316" s="140"/>
    </row>
    <row r="317" s="119" customFormat="1" ht="48" customHeight="1" outlineLevel="2" spans="1:57">
      <c r="A317" s="162">
        <f t="shared" si="75"/>
        <v>6</v>
      </c>
      <c r="B317" s="165" t="s">
        <v>87</v>
      </c>
      <c r="C317" s="166" t="s">
        <v>88</v>
      </c>
      <c r="D317" s="165" t="s">
        <v>63</v>
      </c>
      <c r="E317" s="143">
        <v>0.252</v>
      </c>
      <c r="F317" s="143">
        <f>$F$20</f>
        <v>110</v>
      </c>
      <c r="G317" s="143">
        <f>$G$20</f>
        <v>454.5</v>
      </c>
      <c r="H317" s="143">
        <f>$H$20</f>
        <v>55.2</v>
      </c>
      <c r="I317" s="17">
        <f t="shared" si="76"/>
        <v>61.97</v>
      </c>
      <c r="J317" s="18">
        <f t="shared" si="77"/>
        <v>681.67</v>
      </c>
      <c r="K317" s="19">
        <f t="shared" si="78"/>
        <v>171.78</v>
      </c>
      <c r="L317" s="135"/>
      <c r="M317" s="139">
        <v>1</v>
      </c>
      <c r="N317" s="139"/>
      <c r="O317" s="139"/>
      <c r="P317" s="37">
        <f t="shared" si="79"/>
        <v>619.7</v>
      </c>
      <c r="Q317" s="99">
        <f>$Q$20</f>
        <v>450</v>
      </c>
      <c r="R317" s="163">
        <f>$R$20</f>
        <v>0.01</v>
      </c>
      <c r="S317" s="99">
        <f>$S$20</f>
        <v>110</v>
      </c>
      <c r="T317" s="99">
        <f>$T$20</f>
        <v>54</v>
      </c>
      <c r="U317" s="99">
        <f>$U$20</f>
        <v>1.2</v>
      </c>
      <c r="V317" s="37">
        <f t="shared" si="80"/>
        <v>156.1644</v>
      </c>
      <c r="W317" s="139"/>
      <c r="X317" s="139"/>
      <c r="Y317" s="139"/>
      <c r="Z317" s="139"/>
      <c r="AA317" s="139"/>
      <c r="AB317" s="139"/>
      <c r="AC317" s="139"/>
      <c r="AD317" s="139"/>
      <c r="AE317" s="139"/>
      <c r="AF317" s="140"/>
      <c r="AG317" s="140"/>
      <c r="AH317" s="140"/>
      <c r="AI317" s="140"/>
      <c r="AJ317" s="140"/>
      <c r="AK317" s="140"/>
      <c r="AL317" s="140"/>
      <c r="AM317" s="140"/>
      <c r="AN317" s="140"/>
      <c r="AO317" s="140"/>
      <c r="AP317" s="140"/>
      <c r="AQ317" s="140"/>
      <c r="AR317" s="140"/>
      <c r="AS317" s="140"/>
      <c r="AT317" s="140"/>
      <c r="AU317" s="140"/>
      <c r="AV317" s="140"/>
      <c r="AW317" s="140"/>
      <c r="AX317" s="140"/>
      <c r="AY317" s="140"/>
      <c r="AZ317" s="140"/>
      <c r="BA317" s="140"/>
      <c r="BB317" s="140"/>
      <c r="BC317" s="140"/>
      <c r="BD317" s="140"/>
      <c r="BE317" s="140"/>
    </row>
    <row r="318" s="119" customFormat="1" ht="48" customHeight="1" outlineLevel="2" spans="1:57">
      <c r="A318" s="162">
        <f t="shared" si="75"/>
        <v>7</v>
      </c>
      <c r="B318" s="165" t="s">
        <v>91</v>
      </c>
      <c r="C318" s="166" t="s">
        <v>92</v>
      </c>
      <c r="D318" s="165" t="s">
        <v>70</v>
      </c>
      <c r="E318" s="143">
        <v>25.012</v>
      </c>
      <c r="F318" s="143">
        <f>$F$22</f>
        <v>12</v>
      </c>
      <c r="G318" s="143">
        <f>$G$22</f>
        <v>25.75</v>
      </c>
      <c r="H318" s="143">
        <f>$H$22</f>
        <v>3.8</v>
      </c>
      <c r="I318" s="17">
        <f t="shared" si="76"/>
        <v>4.155</v>
      </c>
      <c r="J318" s="18">
        <f t="shared" si="77"/>
        <v>45.71</v>
      </c>
      <c r="K318" s="19">
        <f t="shared" si="78"/>
        <v>1143.3</v>
      </c>
      <c r="L318" s="135"/>
      <c r="M318" s="139">
        <v>1</v>
      </c>
      <c r="N318" s="139"/>
      <c r="O318" s="139"/>
      <c r="P318" s="37">
        <f t="shared" si="79"/>
        <v>41.55</v>
      </c>
      <c r="Q318" s="99">
        <f>$Q$22</f>
        <v>25</v>
      </c>
      <c r="R318" s="163">
        <f>$R$22</f>
        <v>0.03</v>
      </c>
      <c r="S318" s="99">
        <f>$S$22</f>
        <v>12</v>
      </c>
      <c r="T318" s="99">
        <f>$T$22</f>
        <v>3.5</v>
      </c>
      <c r="U318" s="99">
        <f>$U$22</f>
        <v>0.3</v>
      </c>
      <c r="V318" s="37">
        <f t="shared" si="80"/>
        <v>1039.2486</v>
      </c>
      <c r="W318" s="139"/>
      <c r="X318" s="139"/>
      <c r="Y318" s="139"/>
      <c r="Z318" s="139"/>
      <c r="AA318" s="139"/>
      <c r="AB318" s="139"/>
      <c r="AC318" s="139"/>
      <c r="AD318" s="139"/>
      <c r="AE318" s="139"/>
      <c r="AF318" s="140"/>
      <c r="AG318" s="140"/>
      <c r="AH318" s="140"/>
      <c r="AI318" s="140"/>
      <c r="AJ318" s="140"/>
      <c r="AK318" s="140"/>
      <c r="AL318" s="140"/>
      <c r="AM318" s="140"/>
      <c r="AN318" s="140"/>
      <c r="AO318" s="140"/>
      <c r="AP318" s="140"/>
      <c r="AQ318" s="140"/>
      <c r="AR318" s="140"/>
      <c r="AS318" s="140"/>
      <c r="AT318" s="140"/>
      <c r="AU318" s="140"/>
      <c r="AV318" s="140"/>
      <c r="AW318" s="140"/>
      <c r="AX318" s="140"/>
      <c r="AY318" s="140"/>
      <c r="AZ318" s="140"/>
      <c r="BA318" s="140"/>
      <c r="BB318" s="140"/>
      <c r="BC318" s="140"/>
      <c r="BD318" s="140"/>
      <c r="BE318" s="140"/>
    </row>
    <row r="319" s="119" customFormat="1" ht="36" customHeight="1" outlineLevel="2" spans="1:57">
      <c r="A319" s="162">
        <f t="shared" si="75"/>
        <v>8</v>
      </c>
      <c r="B319" s="165" t="s">
        <v>93</v>
      </c>
      <c r="C319" s="166" t="s">
        <v>94</v>
      </c>
      <c r="D319" s="165" t="s">
        <v>70</v>
      </c>
      <c r="E319" s="143">
        <f>0.17*2</f>
        <v>0.34</v>
      </c>
      <c r="F319" s="143">
        <f>$F$23</f>
        <v>12</v>
      </c>
      <c r="G319" s="143">
        <f>$G$23</f>
        <v>30.385</v>
      </c>
      <c r="H319" s="143">
        <f>$H$23</f>
        <v>3.8</v>
      </c>
      <c r="I319" s="17">
        <f t="shared" si="76"/>
        <v>4.6185</v>
      </c>
      <c r="J319" s="18">
        <f t="shared" si="77"/>
        <v>50.8</v>
      </c>
      <c r="K319" s="19">
        <f t="shared" si="78"/>
        <v>17.27</v>
      </c>
      <c r="L319" s="135"/>
      <c r="M319" s="139">
        <v>1</v>
      </c>
      <c r="N319" s="139"/>
      <c r="O319" s="139"/>
      <c r="P319" s="37">
        <f t="shared" si="79"/>
        <v>46.185</v>
      </c>
      <c r="Q319" s="99">
        <f>$Q$23</f>
        <v>29.5</v>
      </c>
      <c r="R319" s="163">
        <f>$R$23</f>
        <v>0.03</v>
      </c>
      <c r="S319" s="99">
        <f>$S$23</f>
        <v>12</v>
      </c>
      <c r="T319" s="99">
        <f>$T$23</f>
        <v>3.5</v>
      </c>
      <c r="U319" s="99">
        <f>$U$23</f>
        <v>0.3</v>
      </c>
      <c r="V319" s="37">
        <f t="shared" si="80"/>
        <v>15.7029</v>
      </c>
      <c r="W319" s="139"/>
      <c r="X319" s="139"/>
      <c r="Y319" s="139"/>
      <c r="Z319" s="139"/>
      <c r="AA319" s="139"/>
      <c r="AB319" s="139"/>
      <c r="AC319" s="139"/>
      <c r="AD319" s="139"/>
      <c r="AE319" s="139"/>
      <c r="AF319" s="140"/>
      <c r="AG319" s="140"/>
      <c r="AH319" s="140"/>
      <c r="AI319" s="140"/>
      <c r="AJ319" s="140"/>
      <c r="AK319" s="140"/>
      <c r="AL319" s="140"/>
      <c r="AM319" s="140"/>
      <c r="AN319" s="140"/>
      <c r="AO319" s="140"/>
      <c r="AP319" s="140"/>
      <c r="AQ319" s="140"/>
      <c r="AR319" s="140"/>
      <c r="AS319" s="140"/>
      <c r="AT319" s="140"/>
      <c r="AU319" s="140"/>
      <c r="AV319" s="140"/>
      <c r="AW319" s="140"/>
      <c r="AX319" s="140"/>
      <c r="AY319" s="140"/>
      <c r="AZ319" s="140"/>
      <c r="BA319" s="140"/>
      <c r="BB319" s="140"/>
      <c r="BC319" s="140"/>
      <c r="BD319" s="140"/>
      <c r="BE319" s="140"/>
    </row>
    <row r="320" s="119" customFormat="1" ht="48" customHeight="1" outlineLevel="2" spans="1:57">
      <c r="A320" s="162">
        <f t="shared" si="75"/>
        <v>9</v>
      </c>
      <c r="B320" s="165" t="s">
        <v>97</v>
      </c>
      <c r="C320" s="166" t="s">
        <v>98</v>
      </c>
      <c r="D320" s="165" t="s">
        <v>70</v>
      </c>
      <c r="E320" s="143">
        <v>24.672</v>
      </c>
      <c r="F320" s="143">
        <f>$F$25</f>
        <v>22</v>
      </c>
      <c r="G320" s="143">
        <f>$G$25</f>
        <v>58.195</v>
      </c>
      <c r="H320" s="143">
        <f>$H$25</f>
        <v>6.3</v>
      </c>
      <c r="I320" s="17">
        <f t="shared" si="76"/>
        <v>8.6495</v>
      </c>
      <c r="J320" s="18">
        <f t="shared" si="77"/>
        <v>95.14</v>
      </c>
      <c r="K320" s="19">
        <f t="shared" si="78"/>
        <v>2347.29</v>
      </c>
      <c r="L320" s="135"/>
      <c r="M320" s="139">
        <v>1</v>
      </c>
      <c r="N320" s="139"/>
      <c r="O320" s="139"/>
      <c r="P320" s="37">
        <f t="shared" si="79"/>
        <v>86.495</v>
      </c>
      <c r="Q320" s="99">
        <f>$Q$25</f>
        <v>56.5</v>
      </c>
      <c r="R320" s="163">
        <f>$R$25</f>
        <v>0.03</v>
      </c>
      <c r="S320" s="99">
        <f>$S$25</f>
        <v>22</v>
      </c>
      <c r="T320" s="99">
        <f>$T$25</f>
        <v>6</v>
      </c>
      <c r="U320" s="99">
        <f>$U$25</f>
        <v>0.3</v>
      </c>
      <c r="V320" s="37">
        <f t="shared" si="80"/>
        <v>2134.00464</v>
      </c>
      <c r="W320" s="139"/>
      <c r="X320" s="139"/>
      <c r="Y320" s="139"/>
      <c r="Z320" s="139"/>
      <c r="AA320" s="139"/>
      <c r="AB320" s="139"/>
      <c r="AC320" s="139"/>
      <c r="AD320" s="139"/>
      <c r="AE320" s="139"/>
      <c r="AF320" s="140"/>
      <c r="AG320" s="140"/>
      <c r="AH320" s="140"/>
      <c r="AI320" s="140"/>
      <c r="AJ320" s="140"/>
      <c r="AK320" s="140"/>
      <c r="AL320" s="140"/>
      <c r="AM320" s="140"/>
      <c r="AN320" s="140"/>
      <c r="AO320" s="140"/>
      <c r="AP320" s="140"/>
      <c r="AQ320" s="140"/>
      <c r="AR320" s="140"/>
      <c r="AS320" s="140"/>
      <c r="AT320" s="140"/>
      <c r="AU320" s="140"/>
      <c r="AV320" s="140"/>
      <c r="AW320" s="140"/>
      <c r="AX320" s="140"/>
      <c r="AY320" s="140"/>
      <c r="AZ320" s="140"/>
      <c r="BA320" s="140"/>
      <c r="BB320" s="140"/>
      <c r="BC320" s="140"/>
      <c r="BD320" s="140"/>
      <c r="BE320" s="140"/>
    </row>
    <row r="321" s="119" customFormat="1" ht="48" customHeight="1" outlineLevel="2" spans="1:57">
      <c r="A321" s="162">
        <f t="shared" si="75"/>
        <v>10</v>
      </c>
      <c r="B321" s="165" t="s">
        <v>99</v>
      </c>
      <c r="C321" s="166" t="s">
        <v>100</v>
      </c>
      <c r="D321" s="165" t="s">
        <v>70</v>
      </c>
      <c r="E321" s="143">
        <v>25.012</v>
      </c>
      <c r="F321" s="143">
        <f>$F$26</f>
        <v>12</v>
      </c>
      <c r="G321" s="143">
        <f>$G$26</f>
        <v>23.4325</v>
      </c>
      <c r="H321" s="143">
        <f>$H$26</f>
        <v>3.8</v>
      </c>
      <c r="I321" s="17">
        <f t="shared" si="76"/>
        <v>3.92325</v>
      </c>
      <c r="J321" s="18">
        <f t="shared" si="77"/>
        <v>43.16</v>
      </c>
      <c r="K321" s="19">
        <f t="shared" si="78"/>
        <v>1079.52</v>
      </c>
      <c r="L321" s="135"/>
      <c r="M321" s="139">
        <v>1</v>
      </c>
      <c r="N321" s="139"/>
      <c r="O321" s="139"/>
      <c r="P321" s="37">
        <f t="shared" si="79"/>
        <v>39.2325</v>
      </c>
      <c r="Q321" s="99">
        <f>$Q$26</f>
        <v>22.75</v>
      </c>
      <c r="R321" s="163">
        <f>$R$26</f>
        <v>0.03</v>
      </c>
      <c r="S321" s="99">
        <f>$S$26</f>
        <v>12</v>
      </c>
      <c r="T321" s="99">
        <f>$T$26</f>
        <v>3.5</v>
      </c>
      <c r="U321" s="99">
        <f>$U$26</f>
        <v>0.3</v>
      </c>
      <c r="V321" s="37">
        <f t="shared" si="80"/>
        <v>981.28329</v>
      </c>
      <c r="W321" s="139"/>
      <c r="X321" s="139"/>
      <c r="Y321" s="139"/>
      <c r="Z321" s="139"/>
      <c r="AA321" s="139"/>
      <c r="AB321" s="139"/>
      <c r="AC321" s="139"/>
      <c r="AD321" s="139"/>
      <c r="AE321" s="139"/>
      <c r="AF321" s="140"/>
      <c r="AG321" s="140"/>
      <c r="AH321" s="140"/>
      <c r="AI321" s="140"/>
      <c r="AJ321" s="140"/>
      <c r="AK321" s="140"/>
      <c r="AL321" s="140"/>
      <c r="AM321" s="140"/>
      <c r="AN321" s="140"/>
      <c r="AO321" s="140"/>
      <c r="AP321" s="140"/>
      <c r="AQ321" s="140"/>
      <c r="AR321" s="140"/>
      <c r="AS321" s="140"/>
      <c r="AT321" s="140"/>
      <c r="AU321" s="140"/>
      <c r="AV321" s="140"/>
      <c r="AW321" s="140"/>
      <c r="AX321" s="140"/>
      <c r="AY321" s="140"/>
      <c r="AZ321" s="140"/>
      <c r="BA321" s="140"/>
      <c r="BB321" s="140"/>
      <c r="BC321" s="140"/>
      <c r="BD321" s="140"/>
      <c r="BE321" s="140"/>
    </row>
    <row r="322" s="119" customFormat="1" ht="24" customHeight="1" outlineLevel="1" spans="1:57">
      <c r="A322" s="141"/>
      <c r="B322" s="14" t="s">
        <v>101</v>
      </c>
      <c r="C322" s="15"/>
      <c r="D322" s="142"/>
      <c r="E322" s="143"/>
      <c r="F322" s="143"/>
      <c r="G322" s="143"/>
      <c r="H322" s="143"/>
      <c r="I322" s="143"/>
      <c r="J322" s="143"/>
      <c r="K322" s="144"/>
      <c r="L322" s="135"/>
      <c r="M322" s="139"/>
      <c r="N322" s="139"/>
      <c r="O322" s="139"/>
      <c r="P322" s="137"/>
      <c r="Q322" s="137"/>
      <c r="R322" s="138"/>
      <c r="S322" s="137"/>
      <c r="T322" s="137"/>
      <c r="U322" s="137"/>
      <c r="V322" s="137"/>
      <c r="W322" s="139"/>
      <c r="X322" s="139"/>
      <c r="Y322" s="139"/>
      <c r="Z322" s="139"/>
      <c r="AA322" s="139"/>
      <c r="AB322" s="139"/>
      <c r="AC322" s="139"/>
      <c r="AD322" s="139"/>
      <c r="AE322" s="139"/>
      <c r="AF322" s="140"/>
      <c r="AG322" s="140"/>
      <c r="AH322" s="140"/>
      <c r="AI322" s="140"/>
      <c r="AJ322" s="140"/>
      <c r="AK322" s="140"/>
      <c r="AL322" s="140"/>
      <c r="AM322" s="140"/>
      <c r="AN322" s="140"/>
      <c r="AO322" s="140"/>
      <c r="AP322" s="140"/>
      <c r="AQ322" s="140"/>
      <c r="AR322" s="140"/>
      <c r="AS322" s="140"/>
      <c r="AT322" s="140"/>
      <c r="AU322" s="140"/>
      <c r="AV322" s="140"/>
      <c r="AW322" s="140"/>
      <c r="AX322" s="140"/>
      <c r="AY322" s="140"/>
      <c r="AZ322" s="140"/>
      <c r="BA322" s="140"/>
      <c r="BB322" s="140"/>
      <c r="BC322" s="140"/>
      <c r="BD322" s="140"/>
      <c r="BE322" s="140"/>
    </row>
    <row r="323" s="119" customFormat="1" ht="96" customHeight="1" outlineLevel="2" spans="1:57">
      <c r="A323" s="162">
        <f>1+N(A322)</f>
        <v>1</v>
      </c>
      <c r="B323" s="14" t="s">
        <v>102</v>
      </c>
      <c r="C323" s="167" t="s">
        <v>103</v>
      </c>
      <c r="D323" s="142" t="s">
        <v>63</v>
      </c>
      <c r="E323" s="143">
        <v>24.9</v>
      </c>
      <c r="F323" s="143">
        <f>$F$28</f>
        <v>70</v>
      </c>
      <c r="G323" s="143">
        <f>$G$28</f>
        <v>0</v>
      </c>
      <c r="H323" s="143">
        <f>$H$28</f>
        <v>66.711</v>
      </c>
      <c r="I323" s="17">
        <f>(F323+G323+H323)*$I$3</f>
        <v>13.6711</v>
      </c>
      <c r="J323" s="18">
        <f>ROUND(SUM(F323:I323),2)</f>
        <v>150.38</v>
      </c>
      <c r="K323" s="19">
        <f>ROUND(J323*E323,2)</f>
        <v>3744.46</v>
      </c>
      <c r="L323" s="135"/>
      <c r="M323" s="139">
        <v>1</v>
      </c>
      <c r="N323" s="139"/>
      <c r="O323" s="139"/>
      <c r="P323" s="37">
        <f>Q323+Q323*R323+S323+T323+U323</f>
        <v>136.711</v>
      </c>
      <c r="Q323" s="99">
        <f>$Q$28</f>
        <v>0</v>
      </c>
      <c r="R323" s="163">
        <f>$R$28</f>
        <v>0.01</v>
      </c>
      <c r="S323" s="99">
        <f>$S$28</f>
        <v>70</v>
      </c>
      <c r="T323" s="99">
        <f>$T$28</f>
        <v>64.711</v>
      </c>
      <c r="U323" s="99">
        <f>$U$28</f>
        <v>2</v>
      </c>
      <c r="V323" s="37">
        <f>P323*E323</f>
        <v>3404.1039</v>
      </c>
      <c r="W323" s="139"/>
      <c r="X323" s="139"/>
      <c r="Y323" s="139"/>
      <c r="Z323" s="139"/>
      <c r="AA323" s="139"/>
      <c r="AB323" s="139"/>
      <c r="AC323" s="139"/>
      <c r="AD323" s="139"/>
      <c r="AE323" s="139"/>
      <c r="AF323" s="140"/>
      <c r="AG323" s="140"/>
      <c r="AH323" s="140"/>
      <c r="AI323" s="140"/>
      <c r="AJ323" s="140"/>
      <c r="AK323" s="140"/>
      <c r="AL323" s="140"/>
      <c r="AM323" s="140"/>
      <c r="AN323" s="140"/>
      <c r="AO323" s="140"/>
      <c r="AP323" s="140"/>
      <c r="AQ323" s="140"/>
      <c r="AR323" s="140"/>
      <c r="AS323" s="140"/>
      <c r="AT323" s="140"/>
      <c r="AU323" s="140"/>
      <c r="AV323" s="140"/>
      <c r="AW323" s="140"/>
      <c r="AX323" s="140"/>
      <c r="AY323" s="140"/>
      <c r="AZ323" s="140"/>
      <c r="BA323" s="140"/>
      <c r="BB323" s="140"/>
      <c r="BC323" s="140"/>
      <c r="BD323" s="140"/>
      <c r="BE323" s="140"/>
    </row>
    <row r="324" s="119" customFormat="1" ht="48" customHeight="1" outlineLevel="2" spans="1:57">
      <c r="A324" s="162">
        <f>1+N(A323)</f>
        <v>2</v>
      </c>
      <c r="B324" s="14" t="s">
        <v>104</v>
      </c>
      <c r="C324" s="167" t="s">
        <v>105</v>
      </c>
      <c r="D324" s="142" t="s">
        <v>70</v>
      </c>
      <c r="E324" s="143">
        <v>10.73</v>
      </c>
      <c r="F324" s="143">
        <f>$F$29</f>
        <v>50</v>
      </c>
      <c r="G324" s="143">
        <f>$G$29</f>
        <v>0</v>
      </c>
      <c r="H324" s="143">
        <f>$H$29</f>
        <v>22.0941</v>
      </c>
      <c r="I324" s="17">
        <f>(F324+G324+H324)*$I$3</f>
        <v>7.20941</v>
      </c>
      <c r="J324" s="18">
        <f>ROUND(SUM(F324:I324),2)</f>
        <v>79.3</v>
      </c>
      <c r="K324" s="19">
        <f>ROUND(J324*E324,2)</f>
        <v>850.89</v>
      </c>
      <c r="L324" s="135"/>
      <c r="M324" s="139">
        <v>1</v>
      </c>
      <c r="N324" s="139"/>
      <c r="O324" s="139"/>
      <c r="P324" s="37">
        <f>Q324+Q324*R324+S324+T324+U324</f>
        <v>72.0941</v>
      </c>
      <c r="Q324" s="99">
        <f>$Q$29</f>
        <v>0</v>
      </c>
      <c r="R324" s="163">
        <f>$R$29</f>
        <v>0.01</v>
      </c>
      <c r="S324" s="99">
        <f>$S$29</f>
        <v>50</v>
      </c>
      <c r="T324" s="99">
        <f>$T$29</f>
        <v>22.0941</v>
      </c>
      <c r="U324" s="99">
        <f>$U$29</f>
        <v>0</v>
      </c>
      <c r="V324" s="37">
        <f>P324*E324</f>
        <v>773.569693</v>
      </c>
      <c r="W324" s="139"/>
      <c r="X324" s="139"/>
      <c r="Y324" s="139"/>
      <c r="Z324" s="139"/>
      <c r="AA324" s="139"/>
      <c r="AB324" s="139"/>
      <c r="AC324" s="139"/>
      <c r="AD324" s="139"/>
      <c r="AE324" s="139"/>
      <c r="AF324" s="140"/>
      <c r="AG324" s="140"/>
      <c r="AH324" s="140"/>
      <c r="AI324" s="140"/>
      <c r="AJ324" s="140"/>
      <c r="AK324" s="140"/>
      <c r="AL324" s="140"/>
      <c r="AM324" s="140"/>
      <c r="AN324" s="140"/>
      <c r="AO324" s="140"/>
      <c r="AP324" s="140"/>
      <c r="AQ324" s="140"/>
      <c r="AR324" s="140"/>
      <c r="AS324" s="140"/>
      <c r="AT324" s="140"/>
      <c r="AU324" s="140"/>
      <c r="AV324" s="140"/>
      <c r="AW324" s="140"/>
      <c r="AX324" s="140"/>
      <c r="AY324" s="140"/>
      <c r="AZ324" s="140"/>
      <c r="BA324" s="140"/>
      <c r="BB324" s="140"/>
      <c r="BC324" s="140"/>
      <c r="BD324" s="140"/>
      <c r="BE324" s="140"/>
    </row>
    <row r="325" s="119" customFormat="1" ht="48" customHeight="1" outlineLevel="2" spans="1:57">
      <c r="A325" s="162">
        <f>1+N(A324)</f>
        <v>3</v>
      </c>
      <c r="B325" s="14" t="s">
        <v>106</v>
      </c>
      <c r="C325" s="167" t="s">
        <v>107</v>
      </c>
      <c r="D325" s="142" t="s">
        <v>70</v>
      </c>
      <c r="E325" s="143">
        <v>10.73</v>
      </c>
      <c r="F325" s="143">
        <f>$F$30</f>
        <v>18</v>
      </c>
      <c r="G325" s="143">
        <f>$G$30</f>
        <v>163.255</v>
      </c>
      <c r="H325" s="143">
        <f>$H$30</f>
        <v>3.8</v>
      </c>
      <c r="I325" s="17">
        <f>(F325+G325+H325)*$I$3</f>
        <v>18.5055</v>
      </c>
      <c r="J325" s="18">
        <f>ROUND(SUM(F325:I325),2)</f>
        <v>203.56</v>
      </c>
      <c r="K325" s="19">
        <f>ROUND(J325*E325,2)</f>
        <v>2184.2</v>
      </c>
      <c r="L325" s="135"/>
      <c r="M325" s="139">
        <v>1</v>
      </c>
      <c r="N325" s="139"/>
      <c r="O325" s="139"/>
      <c r="P325" s="37">
        <f>Q325+Q325*R325+S325+T325+U325</f>
        <v>185.055</v>
      </c>
      <c r="Q325" s="99">
        <f>$Q$30</f>
        <v>158.5</v>
      </c>
      <c r="R325" s="163">
        <f>$R$30</f>
        <v>0.03</v>
      </c>
      <c r="S325" s="99">
        <f>$S$30</f>
        <v>18</v>
      </c>
      <c r="T325" s="99">
        <f>$T$30</f>
        <v>3.5</v>
      </c>
      <c r="U325" s="99">
        <f>$U$30</f>
        <v>0.3</v>
      </c>
      <c r="V325" s="37">
        <f>P325*E325</f>
        <v>1985.64015</v>
      </c>
      <c r="W325" s="139"/>
      <c r="X325" s="139"/>
      <c r="Y325" s="139"/>
      <c r="Z325" s="139"/>
      <c r="AA325" s="139"/>
      <c r="AB325" s="139"/>
      <c r="AC325" s="139"/>
      <c r="AD325" s="139"/>
      <c r="AE325" s="139"/>
      <c r="AF325" s="140"/>
      <c r="AG325" s="140"/>
      <c r="AH325" s="140"/>
      <c r="AI325" s="140"/>
      <c r="AJ325" s="140"/>
      <c r="AK325" s="140"/>
      <c r="AL325" s="140"/>
      <c r="AM325" s="140"/>
      <c r="AN325" s="140"/>
      <c r="AO325" s="140"/>
      <c r="AP325" s="140"/>
      <c r="AQ325" s="140"/>
      <c r="AR325" s="140"/>
      <c r="AS325" s="140"/>
      <c r="AT325" s="140"/>
      <c r="AU325" s="140"/>
      <c r="AV325" s="140"/>
      <c r="AW325" s="140"/>
      <c r="AX325" s="140"/>
      <c r="AY325" s="140"/>
      <c r="AZ325" s="140"/>
      <c r="BA325" s="140"/>
      <c r="BB325" s="140"/>
      <c r="BC325" s="140"/>
      <c r="BD325" s="140"/>
      <c r="BE325" s="140"/>
    </row>
    <row r="326" s="119" customFormat="1" ht="72" customHeight="1" outlineLevel="2" spans="1:57">
      <c r="A326" s="162">
        <f>1+N(A325)</f>
        <v>4</v>
      </c>
      <c r="B326" s="14" t="s">
        <v>110</v>
      </c>
      <c r="C326" s="167" t="s">
        <v>111</v>
      </c>
      <c r="D326" s="142" t="s">
        <v>63</v>
      </c>
      <c r="E326" s="143">
        <f>24.9+10.73*0.3</f>
        <v>28.119</v>
      </c>
      <c r="F326" s="143">
        <f>$F$32</f>
        <v>45</v>
      </c>
      <c r="G326" s="143">
        <f>$G$32</f>
        <v>85.5</v>
      </c>
      <c r="H326" s="143">
        <f>$H$32</f>
        <v>7.3</v>
      </c>
      <c r="I326" s="17">
        <f>(F326+G326+H326)*$I$3</f>
        <v>13.78</v>
      </c>
      <c r="J326" s="18">
        <f>ROUND(SUM(F326:I326),2)</f>
        <v>151.58</v>
      </c>
      <c r="K326" s="19">
        <f>ROUND(J326*E326,2)</f>
        <v>4262.28</v>
      </c>
      <c r="L326" s="135"/>
      <c r="M326" s="139">
        <v>1</v>
      </c>
      <c r="N326" s="139"/>
      <c r="O326" s="139"/>
      <c r="P326" s="37">
        <f>Q326+Q326*R326+S326+T326+U326</f>
        <v>137.8</v>
      </c>
      <c r="Q326" s="99">
        <f>$Q$32</f>
        <v>85.5</v>
      </c>
      <c r="R326" s="163">
        <f>$R$32</f>
        <v>0</v>
      </c>
      <c r="S326" s="99">
        <f>$S$32</f>
        <v>45</v>
      </c>
      <c r="T326" s="99">
        <f>$T$32</f>
        <v>6.5</v>
      </c>
      <c r="U326" s="99">
        <f>$U$32</f>
        <v>0.8</v>
      </c>
      <c r="V326" s="37">
        <f>P326*E326</f>
        <v>3874.7982</v>
      </c>
      <c r="W326" s="139"/>
      <c r="X326" s="139"/>
      <c r="Y326" s="139"/>
      <c r="Z326" s="139"/>
      <c r="AA326" s="139"/>
      <c r="AB326" s="139"/>
      <c r="AC326" s="139"/>
      <c r="AD326" s="139"/>
      <c r="AE326" s="139"/>
      <c r="AF326" s="140"/>
      <c r="AG326" s="140"/>
      <c r="AH326" s="140"/>
      <c r="AI326" s="140"/>
      <c r="AJ326" s="140"/>
      <c r="AK326" s="140"/>
      <c r="AL326" s="140"/>
      <c r="AM326" s="140"/>
      <c r="AN326" s="140"/>
      <c r="AO326" s="140"/>
      <c r="AP326" s="140"/>
      <c r="AQ326" s="140"/>
      <c r="AR326" s="140"/>
      <c r="AS326" s="140"/>
      <c r="AT326" s="140"/>
      <c r="AU326" s="140"/>
      <c r="AV326" s="140"/>
      <c r="AW326" s="140"/>
      <c r="AX326" s="140"/>
      <c r="AY326" s="140"/>
      <c r="AZ326" s="140"/>
      <c r="BA326" s="140"/>
      <c r="BB326" s="140"/>
      <c r="BC326" s="140"/>
      <c r="BD326" s="140"/>
      <c r="BE326" s="140"/>
    </row>
    <row r="327" s="119" customFormat="1" ht="24" customHeight="1" outlineLevel="1" spans="1:57">
      <c r="A327" s="141"/>
      <c r="B327" s="14" t="s">
        <v>112</v>
      </c>
      <c r="C327" s="15"/>
      <c r="D327" s="142"/>
      <c r="E327" s="143"/>
      <c r="F327" s="143"/>
      <c r="G327" s="143"/>
      <c r="H327" s="143"/>
      <c r="I327" s="143"/>
      <c r="J327" s="143"/>
      <c r="K327" s="144"/>
      <c r="L327" s="135"/>
      <c r="M327" s="139"/>
      <c r="N327" s="139"/>
      <c r="O327" s="139"/>
      <c r="P327" s="137"/>
      <c r="Q327" s="137"/>
      <c r="R327" s="138"/>
      <c r="S327" s="137"/>
      <c r="T327" s="137"/>
      <c r="U327" s="137"/>
      <c r="V327" s="137"/>
      <c r="W327" s="139"/>
      <c r="X327" s="139"/>
      <c r="Y327" s="139"/>
      <c r="Z327" s="139"/>
      <c r="AA327" s="139"/>
      <c r="AB327" s="139"/>
      <c r="AC327" s="139"/>
      <c r="AD327" s="139"/>
      <c r="AE327" s="139"/>
      <c r="AF327" s="140"/>
      <c r="AG327" s="140"/>
      <c r="AH327" s="140"/>
      <c r="AI327" s="140"/>
      <c r="AJ327" s="140"/>
      <c r="AK327" s="140"/>
      <c r="AL327" s="140"/>
      <c r="AM327" s="140"/>
      <c r="AN327" s="140"/>
      <c r="AO327" s="140"/>
      <c r="AP327" s="140"/>
      <c r="AQ327" s="140"/>
      <c r="AR327" s="140"/>
      <c r="AS327" s="140"/>
      <c r="AT327" s="140"/>
      <c r="AU327" s="140"/>
      <c r="AV327" s="140"/>
      <c r="AW327" s="140"/>
      <c r="AX327" s="140"/>
      <c r="AY327" s="140"/>
      <c r="AZ327" s="140"/>
      <c r="BA327" s="140"/>
      <c r="BB327" s="140"/>
      <c r="BC327" s="140"/>
      <c r="BD327" s="140"/>
      <c r="BE327" s="140"/>
    </row>
    <row r="328" s="119" customFormat="1" ht="36" customHeight="1" outlineLevel="2" spans="1:57">
      <c r="A328" s="162">
        <f>1+N(A327)</f>
        <v>1</v>
      </c>
      <c r="B328" s="14" t="s">
        <v>125</v>
      </c>
      <c r="C328" s="15" t="s">
        <v>114</v>
      </c>
      <c r="D328" s="142" t="s">
        <v>63</v>
      </c>
      <c r="E328" s="143">
        <f>0.75*3</f>
        <v>2.25</v>
      </c>
      <c r="F328" s="143">
        <f>$F$59</f>
        <v>165</v>
      </c>
      <c r="G328" s="143">
        <f>$G$59</f>
        <v>85</v>
      </c>
      <c r="H328" s="143">
        <f>$H$59</f>
        <v>355.1744</v>
      </c>
      <c r="I328" s="17">
        <f>(F328+G328+H328)*$I$3</f>
        <v>60.51744</v>
      </c>
      <c r="J328" s="18">
        <f>ROUND(SUM(F328:I328),2)</f>
        <v>665.69</v>
      </c>
      <c r="K328" s="19">
        <f>ROUND(J328*E328,2)</f>
        <v>1497.8</v>
      </c>
      <c r="L328" s="135"/>
      <c r="M328" s="139">
        <v>1</v>
      </c>
      <c r="N328" s="139"/>
      <c r="O328" s="139"/>
      <c r="P328" s="37">
        <f>Q328+Q328*R328+S328+T328+U328</f>
        <v>605.1744</v>
      </c>
      <c r="Q328" s="99">
        <f>$Q$59</f>
        <v>85</v>
      </c>
      <c r="R328" s="163">
        <f>$R$59</f>
        <v>0</v>
      </c>
      <c r="S328" s="99">
        <f>$S$59</f>
        <v>165</v>
      </c>
      <c r="T328" s="99">
        <f>$T$59</f>
        <v>353.6744</v>
      </c>
      <c r="U328" s="99">
        <f>$U$59</f>
        <v>1.5</v>
      </c>
      <c r="V328" s="37">
        <f>P328*E328</f>
        <v>1361.6424</v>
      </c>
      <c r="W328" s="139"/>
      <c r="X328" s="139"/>
      <c r="Y328" s="139"/>
      <c r="Z328" s="139"/>
      <c r="AA328" s="139"/>
      <c r="AB328" s="139"/>
      <c r="AC328" s="139"/>
      <c r="AD328" s="139"/>
      <c r="AE328" s="139"/>
      <c r="AF328" s="140"/>
      <c r="AG328" s="140"/>
      <c r="AH328" s="140"/>
      <c r="AI328" s="140"/>
      <c r="AJ328" s="140"/>
      <c r="AK328" s="140"/>
      <c r="AL328" s="140"/>
      <c r="AM328" s="140"/>
      <c r="AN328" s="140"/>
      <c r="AO328" s="140"/>
      <c r="AP328" s="140"/>
      <c r="AQ328" s="140"/>
      <c r="AR328" s="140"/>
      <c r="AS328" s="140"/>
      <c r="AT328" s="140"/>
      <c r="AU328" s="140"/>
      <c r="AV328" s="140"/>
      <c r="AW328" s="140"/>
      <c r="AX328" s="140"/>
      <c r="AY328" s="140"/>
      <c r="AZ328" s="140"/>
      <c r="BA328" s="140"/>
      <c r="BB328" s="140"/>
      <c r="BC328" s="140"/>
      <c r="BD328" s="140"/>
      <c r="BE328" s="140"/>
    </row>
    <row r="329" s="119" customFormat="1" ht="72" customHeight="1" outlineLevel="2" spans="1:57">
      <c r="A329" s="162">
        <f>1+N(A328)</f>
        <v>2</v>
      </c>
      <c r="B329" s="14" t="s">
        <v>115</v>
      </c>
      <c r="C329" s="166" t="s">
        <v>116</v>
      </c>
      <c r="D329" s="142" t="s">
        <v>63</v>
      </c>
      <c r="E329" s="143">
        <f>1.84*3</f>
        <v>5.52</v>
      </c>
      <c r="F329" s="143">
        <f>$F$35</f>
        <v>145</v>
      </c>
      <c r="G329" s="143">
        <f>$G$35</f>
        <v>1650</v>
      </c>
      <c r="H329" s="143">
        <f>$H$35</f>
        <v>31.5</v>
      </c>
      <c r="I329" s="17">
        <f>(F329+G329+H329)*$I$3</f>
        <v>182.65</v>
      </c>
      <c r="J329" s="18">
        <f>ROUND(SUM(F329:I329),2)</f>
        <v>2009.15</v>
      </c>
      <c r="K329" s="19">
        <f>ROUND(J329*E329,2)</f>
        <v>11090.51</v>
      </c>
      <c r="L329" s="135"/>
      <c r="M329" s="139">
        <v>1</v>
      </c>
      <c r="N329" s="139"/>
      <c r="O329" s="139"/>
      <c r="P329" s="37">
        <f>Q329+Q329*R329+S329+T329+U329</f>
        <v>1826.5</v>
      </c>
      <c r="Q329" s="99">
        <f>$Q$35</f>
        <v>1650</v>
      </c>
      <c r="R329" s="163">
        <f>$R$35</f>
        <v>0</v>
      </c>
      <c r="S329" s="99">
        <f>$S$35</f>
        <v>145</v>
      </c>
      <c r="T329" s="99">
        <f>$T$35</f>
        <v>30</v>
      </c>
      <c r="U329" s="99">
        <f>$U$35</f>
        <v>1.5</v>
      </c>
      <c r="V329" s="37">
        <f>P329*E329</f>
        <v>10082.28</v>
      </c>
      <c r="W329" s="139"/>
      <c r="X329" s="139"/>
      <c r="Y329" s="139"/>
      <c r="Z329" s="139"/>
      <c r="AA329" s="139"/>
      <c r="AB329" s="139"/>
      <c r="AC329" s="139"/>
      <c r="AD329" s="139"/>
      <c r="AE329" s="139"/>
      <c r="AF329" s="140"/>
      <c r="AG329" s="140"/>
      <c r="AH329" s="140"/>
      <c r="AI329" s="140"/>
      <c r="AJ329" s="140"/>
      <c r="AK329" s="140"/>
      <c r="AL329" s="140"/>
      <c r="AM329" s="140"/>
      <c r="AN329" s="140"/>
      <c r="AO329" s="140"/>
      <c r="AP329" s="140"/>
      <c r="AQ329" s="140"/>
      <c r="AR329" s="140"/>
      <c r="AS329" s="140"/>
      <c r="AT329" s="140"/>
      <c r="AU329" s="140"/>
      <c r="AV329" s="140"/>
      <c r="AW329" s="140"/>
      <c r="AX329" s="140"/>
      <c r="AY329" s="140"/>
      <c r="AZ329" s="140"/>
      <c r="BA329" s="140"/>
      <c r="BB329" s="140"/>
      <c r="BC329" s="140"/>
      <c r="BD329" s="140"/>
      <c r="BE329" s="140"/>
    </row>
    <row r="330" s="119" customFormat="1" ht="36" customHeight="1" outlineLevel="2" spans="1:57">
      <c r="A330" s="162">
        <f>1+N(A329)</f>
        <v>3</v>
      </c>
      <c r="B330" s="165" t="s">
        <v>117</v>
      </c>
      <c r="C330" s="166" t="s">
        <v>118</v>
      </c>
      <c r="D330" s="165" t="s">
        <v>63</v>
      </c>
      <c r="E330" s="143">
        <f>1.41*3</f>
        <v>4.23</v>
      </c>
      <c r="F330" s="143">
        <f>$F$36</f>
        <v>110</v>
      </c>
      <c r="G330" s="143">
        <f>$G$36</f>
        <v>419.15</v>
      </c>
      <c r="H330" s="143">
        <f>$H$36</f>
        <v>68.5</v>
      </c>
      <c r="I330" s="17">
        <f>(F330+G330+H330)*$I$3</f>
        <v>59.765</v>
      </c>
      <c r="J330" s="18">
        <f>ROUND(SUM(F330:I330),2)</f>
        <v>657.42</v>
      </c>
      <c r="K330" s="19">
        <f>ROUND(J330*E330,2)</f>
        <v>2780.89</v>
      </c>
      <c r="L330" s="135"/>
      <c r="M330" s="139">
        <v>1</v>
      </c>
      <c r="N330" s="139"/>
      <c r="O330" s="139"/>
      <c r="P330" s="37">
        <f>Q330+Q330*R330+S330+T330+U330</f>
        <v>597.65</v>
      </c>
      <c r="Q330" s="99">
        <f>$Q$36</f>
        <v>415</v>
      </c>
      <c r="R330" s="163">
        <f>$R$36</f>
        <v>0.01</v>
      </c>
      <c r="S330" s="99">
        <f>$S$36</f>
        <v>110</v>
      </c>
      <c r="T330" s="99">
        <f>$T$36</f>
        <v>65</v>
      </c>
      <c r="U330" s="99">
        <f>$U$36</f>
        <v>3.5</v>
      </c>
      <c r="V330" s="37">
        <f>P330*E330</f>
        <v>2528.0595</v>
      </c>
      <c r="W330" s="139"/>
      <c r="X330" s="139"/>
      <c r="Y330" s="139"/>
      <c r="Z330" s="139"/>
      <c r="AA330" s="139"/>
      <c r="AB330" s="139"/>
      <c r="AC330" s="139"/>
      <c r="AD330" s="139"/>
      <c r="AE330" s="139"/>
      <c r="AF330" s="140"/>
      <c r="AG330" s="140"/>
      <c r="AH330" s="140"/>
      <c r="AI330" s="140"/>
      <c r="AJ330" s="140"/>
      <c r="AK330" s="140"/>
      <c r="AL330" s="140"/>
      <c r="AM330" s="140"/>
      <c r="AN330" s="140"/>
      <c r="AO330" s="140"/>
      <c r="AP330" s="140"/>
      <c r="AQ330" s="140"/>
      <c r="AR330" s="140"/>
      <c r="AS330" s="140"/>
      <c r="AT330" s="140"/>
      <c r="AU330" s="140"/>
      <c r="AV330" s="140"/>
      <c r="AW330" s="140"/>
      <c r="AX330" s="140"/>
      <c r="AY330" s="140"/>
      <c r="AZ330" s="140"/>
      <c r="BA330" s="140"/>
      <c r="BB330" s="140"/>
      <c r="BC330" s="140"/>
      <c r="BD330" s="140"/>
      <c r="BE330" s="140"/>
    </row>
    <row r="331" s="119" customFormat="1" ht="24" customHeight="1" outlineLevel="1" spans="1:57">
      <c r="A331" s="132" t="s">
        <v>211</v>
      </c>
      <c r="B331" s="8" t="s">
        <v>160</v>
      </c>
      <c r="C331" s="8"/>
      <c r="D331" s="133"/>
      <c r="E331" s="134"/>
      <c r="F331" s="134"/>
      <c r="G331" s="134"/>
      <c r="H331" s="134"/>
      <c r="I331" s="134"/>
      <c r="J331" s="134"/>
      <c r="K331" s="11"/>
      <c r="L331" s="135"/>
      <c r="M331" s="139"/>
      <c r="N331" s="139"/>
      <c r="O331" s="139" t="str">
        <f>_xlfn.DISPIMG("ID_08529AA2B4754D7788EF3058DD12C0B7",1)</f>
        <v>=DISPIMG("ID_08529AA2B4754D7788EF3058DD12C0B7",1)</v>
      </c>
      <c r="P331" s="137"/>
      <c r="Q331" s="137"/>
      <c r="R331" s="138"/>
      <c r="S331" s="137"/>
      <c r="T331" s="137"/>
      <c r="U331" s="137"/>
      <c r="V331" s="137"/>
      <c r="W331" s="139"/>
      <c r="X331" s="139"/>
      <c r="Y331" s="139"/>
      <c r="Z331" s="139"/>
      <c r="AA331" s="139"/>
      <c r="AB331" s="139"/>
      <c r="AC331" s="139"/>
      <c r="AD331" s="139"/>
      <c r="AE331" s="139"/>
      <c r="AF331" s="140"/>
      <c r="AG331" s="140"/>
      <c r="AH331" s="140"/>
      <c r="AI331" s="140"/>
      <c r="AJ331" s="140"/>
      <c r="AK331" s="140"/>
      <c r="AL331" s="140"/>
      <c r="AM331" s="140"/>
      <c r="AN331" s="140"/>
      <c r="AO331" s="140"/>
      <c r="AP331" s="140"/>
      <c r="AQ331" s="140"/>
      <c r="AR331" s="140"/>
      <c r="AS331" s="140"/>
      <c r="AT331" s="140"/>
      <c r="AU331" s="140"/>
      <c r="AV331" s="140"/>
      <c r="AW331" s="140"/>
      <c r="AX331" s="140"/>
      <c r="AY331" s="140"/>
      <c r="AZ331" s="140"/>
      <c r="BA331" s="140"/>
      <c r="BB331" s="140"/>
      <c r="BC331" s="140"/>
      <c r="BD331" s="140"/>
      <c r="BE331" s="140"/>
    </row>
    <row r="332" s="119" customFormat="1" ht="24" customHeight="1" outlineLevel="1" spans="1:57">
      <c r="A332" s="141"/>
      <c r="B332" s="165" t="s">
        <v>161</v>
      </c>
      <c r="C332" s="15"/>
      <c r="D332" s="142"/>
      <c r="E332" s="143"/>
      <c r="F332" s="143"/>
      <c r="G332" s="143"/>
      <c r="H332" s="143"/>
      <c r="I332" s="143"/>
      <c r="J332" s="143"/>
      <c r="K332" s="144"/>
      <c r="L332" s="135"/>
      <c r="M332" s="139"/>
      <c r="N332" s="139"/>
      <c r="O332" s="139"/>
      <c r="P332" s="137"/>
      <c r="Q332" s="137"/>
      <c r="R332" s="138"/>
      <c r="S332" s="137"/>
      <c r="T332" s="137"/>
      <c r="U332" s="137"/>
      <c r="V332" s="137"/>
      <c r="W332" s="139"/>
      <c r="X332" s="139"/>
      <c r="Y332" s="139"/>
      <c r="Z332" s="139"/>
      <c r="AA332" s="139"/>
      <c r="AB332" s="139"/>
      <c r="AC332" s="139"/>
      <c r="AD332" s="139"/>
      <c r="AE332" s="139"/>
      <c r="AF332" s="140"/>
      <c r="AG332" s="140"/>
      <c r="AH332" s="140"/>
      <c r="AI332" s="140"/>
      <c r="AJ332" s="140"/>
      <c r="AK332" s="140"/>
      <c r="AL332" s="140"/>
      <c r="AM332" s="140"/>
      <c r="AN332" s="140"/>
      <c r="AO332" s="140"/>
      <c r="AP332" s="140"/>
      <c r="AQ332" s="140"/>
      <c r="AR332" s="140"/>
      <c r="AS332" s="140"/>
      <c r="AT332" s="140"/>
      <c r="AU332" s="140"/>
      <c r="AV332" s="140"/>
      <c r="AW332" s="140"/>
      <c r="AX332" s="140"/>
      <c r="AY332" s="140"/>
      <c r="AZ332" s="140"/>
      <c r="BA332" s="140"/>
      <c r="BB332" s="140"/>
      <c r="BC332" s="140"/>
      <c r="BD332" s="140"/>
      <c r="BE332" s="140"/>
    </row>
    <row r="333" s="119" customFormat="1" ht="60" customHeight="1" outlineLevel="2" spans="1:57">
      <c r="A333" s="145">
        <f>1+N(A332)</f>
        <v>1</v>
      </c>
      <c r="B333" s="159" t="s">
        <v>212</v>
      </c>
      <c r="C333" s="160" t="s">
        <v>213</v>
      </c>
      <c r="D333" s="148" t="s">
        <v>214</v>
      </c>
      <c r="E333" s="149">
        <f>5.111*4.07</f>
        <v>20.80177</v>
      </c>
      <c r="F333" s="149">
        <f>S333*$S$1</f>
        <v>275</v>
      </c>
      <c r="G333" s="149">
        <f>Q333*(1+R333)*$Q$1</f>
        <v>429.25</v>
      </c>
      <c r="H333" s="149">
        <f>(T333+U333)*$T$1</f>
        <v>102.5</v>
      </c>
      <c r="I333" s="150">
        <f>(F333+G333+H333)*$I$3</f>
        <v>80.675</v>
      </c>
      <c r="J333" s="151">
        <f>ROUND(SUM(F333:I333),2)</f>
        <v>887.43</v>
      </c>
      <c r="K333" s="152">
        <f>ROUND(J333*E333,2)</f>
        <v>18460.11</v>
      </c>
      <c r="L333" s="153"/>
      <c r="M333" s="139">
        <v>1</v>
      </c>
      <c r="N333" s="139"/>
      <c r="O333" s="139"/>
      <c r="P333" s="37">
        <f>Q333+Q333*R333+S333+T333+U333</f>
        <v>806.75</v>
      </c>
      <c r="Q333" s="71">
        <v>425</v>
      </c>
      <c r="R333" s="157">
        <v>0.01</v>
      </c>
      <c r="S333" s="71">
        <v>275</v>
      </c>
      <c r="T333" s="71">
        <v>90</v>
      </c>
      <c r="U333" s="71">
        <v>12.5</v>
      </c>
      <c r="V333" s="37">
        <f>P333*E333</f>
        <v>16781.8279475</v>
      </c>
      <c r="W333" s="139"/>
      <c r="X333" s="139"/>
      <c r="Y333" s="139"/>
      <c r="Z333" s="139"/>
      <c r="AA333" s="139"/>
      <c r="AB333" s="139"/>
      <c r="AC333" s="139"/>
      <c r="AD333" s="139"/>
      <c r="AE333" s="139"/>
      <c r="AF333" s="140"/>
      <c r="AG333" s="140"/>
      <c r="AH333" s="140"/>
      <c r="AI333" s="140"/>
      <c r="AJ333" s="140"/>
      <c r="AK333" s="140"/>
      <c r="AL333" s="140"/>
      <c r="AM333" s="140"/>
      <c r="AN333" s="140"/>
      <c r="AO333" s="140"/>
      <c r="AP333" s="140"/>
      <c r="AQ333" s="140"/>
      <c r="AR333" s="140"/>
      <c r="AS333" s="140"/>
      <c r="AT333" s="140"/>
      <c r="AU333" s="140"/>
      <c r="AV333" s="140"/>
      <c r="AW333" s="140"/>
      <c r="AX333" s="140"/>
      <c r="AY333" s="140"/>
      <c r="AZ333" s="140"/>
      <c r="BA333" s="140"/>
      <c r="BB333" s="140"/>
      <c r="BC333" s="140"/>
      <c r="BD333" s="140"/>
      <c r="BE333" s="140"/>
    </row>
    <row r="334" s="119" customFormat="1" ht="33.75" customHeight="1" outlineLevel="2" spans="1:57">
      <c r="A334" s="145">
        <f>1+N(A333)</f>
        <v>2</v>
      </c>
      <c r="B334" s="159" t="s">
        <v>215</v>
      </c>
      <c r="C334" s="174" t="s">
        <v>216</v>
      </c>
      <c r="D334" s="175" t="s">
        <v>63</v>
      </c>
      <c r="E334" s="149">
        <f>29.207*4.07</f>
        <v>118.87249</v>
      </c>
      <c r="F334" s="149">
        <f>S334*$S$1</f>
        <v>22</v>
      </c>
      <c r="G334" s="149">
        <f>Q334*(1+R334)*$Q$1</f>
        <v>0</v>
      </c>
      <c r="H334" s="149">
        <f>(T334+U334)*$T$1</f>
        <v>9</v>
      </c>
      <c r="I334" s="150">
        <f>(F334+G334+H334)*$I$3</f>
        <v>3.1</v>
      </c>
      <c r="J334" s="151">
        <f>ROUND(SUM(F334:I334),2)</f>
        <v>34.1</v>
      </c>
      <c r="K334" s="152">
        <f>ROUND(J334*E334,2)</f>
        <v>4053.55</v>
      </c>
      <c r="L334" s="153"/>
      <c r="M334" s="139">
        <v>1</v>
      </c>
      <c r="N334" s="139"/>
      <c r="O334" s="139"/>
      <c r="P334" s="37">
        <f>Q334+Q334*R334+S334+T334+U334</f>
        <v>31</v>
      </c>
      <c r="Q334" s="71"/>
      <c r="R334" s="157">
        <v>0</v>
      </c>
      <c r="S334" s="71">
        <v>22</v>
      </c>
      <c r="T334" s="71">
        <v>8.5</v>
      </c>
      <c r="U334" s="71">
        <v>0.5</v>
      </c>
      <c r="V334" s="37">
        <f>P334*E334</f>
        <v>3685.04719</v>
      </c>
      <c r="W334" s="139"/>
      <c r="X334" s="139"/>
      <c r="Y334" s="139"/>
      <c r="Z334" s="139"/>
      <c r="AA334" s="139"/>
      <c r="AB334" s="139"/>
      <c r="AC334" s="139"/>
      <c r="AD334" s="139"/>
      <c r="AE334" s="139"/>
      <c r="AF334" s="140"/>
      <c r="AG334" s="140"/>
      <c r="AH334" s="140"/>
      <c r="AI334" s="140"/>
      <c r="AJ334" s="140"/>
      <c r="AK334" s="140"/>
      <c r="AL334" s="140"/>
      <c r="AM334" s="140"/>
      <c r="AN334" s="140"/>
      <c r="AO334" s="140"/>
      <c r="AP334" s="140"/>
      <c r="AQ334" s="140"/>
      <c r="AR334" s="140"/>
      <c r="AS334" s="140"/>
      <c r="AT334" s="140"/>
      <c r="AU334" s="140"/>
      <c r="AV334" s="140"/>
      <c r="AW334" s="140"/>
      <c r="AX334" s="140"/>
      <c r="AY334" s="140"/>
      <c r="AZ334" s="140"/>
      <c r="BA334" s="140"/>
      <c r="BB334" s="140"/>
      <c r="BC334" s="140"/>
      <c r="BD334" s="140"/>
      <c r="BE334" s="140"/>
    </row>
    <row r="335" s="119" customFormat="1" ht="72" customHeight="1" outlineLevel="2" spans="1:57">
      <c r="A335" s="162">
        <f>1+N(A334)</f>
        <v>3</v>
      </c>
      <c r="B335" s="165" t="s">
        <v>162</v>
      </c>
      <c r="C335" s="166" t="s">
        <v>163</v>
      </c>
      <c r="D335" s="142" t="s">
        <v>63</v>
      </c>
      <c r="E335" s="143">
        <f>43.451*4.07</f>
        <v>176.84557</v>
      </c>
      <c r="F335" s="143">
        <f>$F$167</f>
        <v>65</v>
      </c>
      <c r="G335" s="143">
        <f>$G$167</f>
        <v>78.275</v>
      </c>
      <c r="H335" s="143">
        <f>$H$167</f>
        <v>17</v>
      </c>
      <c r="I335" s="17">
        <f>(F335+G335+H335)*$I$3</f>
        <v>16.0275</v>
      </c>
      <c r="J335" s="18">
        <f>ROUND(SUM(F335:I335),2)</f>
        <v>176.3</v>
      </c>
      <c r="K335" s="19">
        <f>ROUND(J335*E335,2)</f>
        <v>31177.87</v>
      </c>
      <c r="L335" s="135"/>
      <c r="M335" s="139">
        <v>1</v>
      </c>
      <c r="N335" s="139"/>
      <c r="O335" s="139"/>
      <c r="P335" s="37">
        <f>Q335+Q335*R335+S335+T335+U335</f>
        <v>160.275</v>
      </c>
      <c r="Q335" s="99">
        <f>$Q$167</f>
        <v>77.5</v>
      </c>
      <c r="R335" s="163">
        <f>$R$167</f>
        <v>0.01</v>
      </c>
      <c r="S335" s="99">
        <f>$S$167</f>
        <v>65</v>
      </c>
      <c r="T335" s="99">
        <f>$T$167</f>
        <v>15.5</v>
      </c>
      <c r="U335" s="99">
        <f>$U$167</f>
        <v>1.5</v>
      </c>
      <c r="V335" s="37">
        <f>P335*E335</f>
        <v>28343.92373175</v>
      </c>
      <c r="W335" s="139"/>
      <c r="X335" s="139"/>
      <c r="Y335" s="139"/>
      <c r="Z335" s="139"/>
      <c r="AA335" s="139"/>
      <c r="AB335" s="139"/>
      <c r="AC335" s="139"/>
      <c r="AD335" s="139"/>
      <c r="AE335" s="139"/>
      <c r="AF335" s="140"/>
      <c r="AG335" s="140"/>
      <c r="AH335" s="140"/>
      <c r="AI335" s="140"/>
      <c r="AJ335" s="140"/>
      <c r="AK335" s="140"/>
      <c r="AL335" s="140"/>
      <c r="AM335" s="140"/>
      <c r="AN335" s="140"/>
      <c r="AO335" s="140"/>
      <c r="AP335" s="140"/>
      <c r="AQ335" s="140"/>
      <c r="AR335" s="140"/>
      <c r="AS335" s="140"/>
      <c r="AT335" s="140"/>
      <c r="AU335" s="140"/>
      <c r="AV335" s="140"/>
      <c r="AW335" s="140"/>
      <c r="AX335" s="140"/>
      <c r="AY335" s="140"/>
      <c r="AZ335" s="140"/>
      <c r="BA335" s="140"/>
      <c r="BB335" s="140"/>
      <c r="BC335" s="140"/>
      <c r="BD335" s="140"/>
      <c r="BE335" s="140"/>
    </row>
    <row r="336" s="119" customFormat="1" ht="24" customHeight="1" spans="1:57">
      <c r="A336" s="132" t="s">
        <v>217</v>
      </c>
      <c r="B336" s="176" t="s">
        <v>218</v>
      </c>
      <c r="C336" s="176"/>
      <c r="D336" s="177"/>
      <c r="E336" s="134"/>
      <c r="F336" s="134"/>
      <c r="G336" s="134"/>
      <c r="H336" s="134"/>
      <c r="I336" s="134"/>
      <c r="J336" s="134"/>
      <c r="K336" s="11">
        <f>SUM(K337:K447)</f>
        <v>124011.05</v>
      </c>
      <c r="L336" s="135"/>
      <c r="M336" s="139"/>
      <c r="N336" s="139"/>
      <c r="O336" s="170"/>
      <c r="P336" s="137"/>
      <c r="Q336" s="137"/>
      <c r="R336" s="138"/>
      <c r="S336" s="137"/>
      <c r="T336" s="137"/>
      <c r="U336" s="137"/>
      <c r="V336" s="137"/>
      <c r="W336" s="139"/>
      <c r="X336" s="139"/>
      <c r="Y336" s="139"/>
      <c r="Z336" s="139"/>
      <c r="AA336" s="139"/>
      <c r="AB336" s="139"/>
      <c r="AC336" s="139"/>
      <c r="AD336" s="139"/>
      <c r="AE336" s="139"/>
      <c r="AF336" s="140"/>
      <c r="AG336" s="140"/>
      <c r="AH336" s="140"/>
      <c r="AI336" s="140"/>
      <c r="AJ336" s="140"/>
      <c r="AK336" s="140"/>
      <c r="AL336" s="140"/>
      <c r="AM336" s="140"/>
      <c r="AN336" s="140"/>
      <c r="AO336" s="140"/>
      <c r="AP336" s="140"/>
      <c r="AQ336" s="140"/>
      <c r="AR336" s="140"/>
      <c r="AS336" s="140"/>
      <c r="AT336" s="140"/>
      <c r="AU336" s="140"/>
      <c r="AV336" s="140"/>
      <c r="AW336" s="140"/>
      <c r="AX336" s="140"/>
      <c r="AY336" s="140"/>
      <c r="AZ336" s="140"/>
      <c r="BA336" s="140"/>
      <c r="BB336" s="140"/>
      <c r="BC336" s="140"/>
      <c r="BD336" s="140"/>
      <c r="BE336" s="140"/>
    </row>
    <row r="337" s="119" customFormat="1" ht="24" customHeight="1" outlineLevel="1" spans="1:57">
      <c r="A337" s="132" t="s">
        <v>58</v>
      </c>
      <c r="B337" s="8" t="s">
        <v>219</v>
      </c>
      <c r="C337" s="8"/>
      <c r="D337" s="133"/>
      <c r="E337" s="134"/>
      <c r="F337" s="134"/>
      <c r="G337" s="134"/>
      <c r="H337" s="134"/>
      <c r="I337" s="134"/>
      <c r="J337" s="134"/>
      <c r="K337" s="11"/>
      <c r="L337" s="135"/>
      <c r="M337" s="139"/>
      <c r="N337" s="139"/>
      <c r="O337" s="170" t="str">
        <f>_xlfn.DISPIMG("ID_2E98F7372404413096138FD16E0C8F7D",1)</f>
        <v>=DISPIMG("ID_2E98F7372404413096138FD16E0C8F7D",1)</v>
      </c>
      <c r="P337" s="137"/>
      <c r="Q337" s="137"/>
      <c r="R337" s="138"/>
      <c r="S337" s="137"/>
      <c r="T337" s="137"/>
      <c r="U337" s="137"/>
      <c r="V337" s="137"/>
      <c r="W337" s="139"/>
      <c r="X337" s="139"/>
      <c r="Y337" s="139"/>
      <c r="Z337" s="139"/>
      <c r="AA337" s="139"/>
      <c r="AB337" s="139"/>
      <c r="AC337" s="139"/>
      <c r="AD337" s="139"/>
      <c r="AE337" s="139"/>
      <c r="AF337" s="140"/>
      <c r="AG337" s="140"/>
      <c r="AH337" s="140"/>
      <c r="AI337" s="140"/>
      <c r="AJ337" s="140"/>
      <c r="AK337" s="140"/>
      <c r="AL337" s="140"/>
      <c r="AM337" s="140"/>
      <c r="AN337" s="140"/>
      <c r="AO337" s="140"/>
      <c r="AP337" s="140"/>
      <c r="AQ337" s="140"/>
      <c r="AR337" s="140"/>
      <c r="AS337" s="140"/>
      <c r="AT337" s="140"/>
      <c r="AU337" s="140"/>
      <c r="AV337" s="140"/>
      <c r="AW337" s="140"/>
      <c r="AX337" s="140"/>
      <c r="AY337" s="140"/>
      <c r="AZ337" s="140"/>
      <c r="BA337" s="140"/>
      <c r="BB337" s="140"/>
      <c r="BC337" s="140"/>
      <c r="BD337" s="140"/>
      <c r="BE337" s="140"/>
    </row>
    <row r="338" s="119" customFormat="1" ht="24" customHeight="1" outlineLevel="1" spans="1:57">
      <c r="A338" s="141"/>
      <c r="B338" s="14" t="s">
        <v>60</v>
      </c>
      <c r="C338" s="15"/>
      <c r="D338" s="142"/>
      <c r="E338" s="143"/>
      <c r="F338" s="143"/>
      <c r="G338" s="143"/>
      <c r="H338" s="143"/>
      <c r="I338" s="143"/>
      <c r="J338" s="143"/>
      <c r="K338" s="144"/>
      <c r="L338" s="135"/>
      <c r="M338" s="139"/>
      <c r="N338" s="139"/>
      <c r="O338" s="139"/>
      <c r="P338" s="137"/>
      <c r="Q338" s="137"/>
      <c r="R338" s="138"/>
      <c r="S338" s="137"/>
      <c r="T338" s="137"/>
      <c r="U338" s="137"/>
      <c r="V338" s="137"/>
      <c r="W338" s="139"/>
      <c r="X338" s="139"/>
      <c r="Y338" s="139"/>
      <c r="Z338" s="139"/>
      <c r="AA338" s="139"/>
      <c r="AB338" s="139"/>
      <c r="AC338" s="139"/>
      <c r="AD338" s="139"/>
      <c r="AE338" s="139"/>
      <c r="AF338" s="140"/>
      <c r="AG338" s="140"/>
      <c r="AH338" s="140"/>
      <c r="AI338" s="140"/>
      <c r="AJ338" s="140"/>
      <c r="AK338" s="140"/>
      <c r="AL338" s="140"/>
      <c r="AM338" s="140"/>
      <c r="AN338" s="140"/>
      <c r="AO338" s="140"/>
      <c r="AP338" s="140"/>
      <c r="AQ338" s="140"/>
      <c r="AR338" s="140"/>
      <c r="AS338" s="140"/>
      <c r="AT338" s="140"/>
      <c r="AU338" s="140"/>
      <c r="AV338" s="140"/>
      <c r="AW338" s="140"/>
      <c r="AX338" s="140"/>
      <c r="AY338" s="140"/>
      <c r="AZ338" s="140"/>
      <c r="BA338" s="140"/>
      <c r="BB338" s="140"/>
      <c r="BC338" s="140"/>
      <c r="BD338" s="140"/>
      <c r="BE338" s="140"/>
    </row>
    <row r="339" s="119" customFormat="1" ht="96" customHeight="1" outlineLevel="2" spans="1:57">
      <c r="A339" s="145">
        <f>1+N(A338)</f>
        <v>1</v>
      </c>
      <c r="B339" s="146" t="s">
        <v>220</v>
      </c>
      <c r="C339" s="147" t="s">
        <v>221</v>
      </c>
      <c r="D339" s="148" t="s">
        <v>63</v>
      </c>
      <c r="E339" s="149">
        <v>1.35</v>
      </c>
      <c r="F339" s="149">
        <f>S339*$S$1</f>
        <v>130</v>
      </c>
      <c r="G339" s="149">
        <f>Q339*(1+R339)*$Q$1</f>
        <v>628.3</v>
      </c>
      <c r="H339" s="150">
        <f>(T339+U339)*$T$1</f>
        <v>47.7</v>
      </c>
      <c r="I339" s="150">
        <f>(F339+G339+H339)*$I$3</f>
        <v>80.6</v>
      </c>
      <c r="J339" s="151">
        <f>ROUND(SUM(F339:I339),2)</f>
        <v>886.6</v>
      </c>
      <c r="K339" s="152">
        <f>ROUND(J339*E339,2)</f>
        <v>1196.91</v>
      </c>
      <c r="L339" s="153"/>
      <c r="M339" s="139">
        <v>1</v>
      </c>
      <c r="N339" s="139"/>
      <c r="O339" s="139"/>
      <c r="P339" s="37">
        <f>Q339+Q339*R339+S339+T339+U339</f>
        <v>806</v>
      </c>
      <c r="Q339" s="71">
        <v>610</v>
      </c>
      <c r="R339" s="157">
        <v>0.03</v>
      </c>
      <c r="S339" s="71">
        <v>130</v>
      </c>
      <c r="T339" s="71">
        <v>46.2</v>
      </c>
      <c r="U339" s="71">
        <v>1.5</v>
      </c>
      <c r="V339" s="37">
        <f>P339*E339</f>
        <v>1088.1</v>
      </c>
      <c r="W339" s="139"/>
      <c r="X339" s="139"/>
      <c r="Y339" s="139"/>
      <c r="Z339" s="139"/>
      <c r="AA339" s="139"/>
      <c r="AB339" s="139"/>
      <c r="AC339" s="139"/>
      <c r="AD339" s="139"/>
      <c r="AE339" s="139"/>
      <c r="AF339" s="140"/>
      <c r="AG339" s="140"/>
      <c r="AH339" s="140"/>
      <c r="AI339" s="140"/>
      <c r="AJ339" s="140"/>
      <c r="AK339" s="140"/>
      <c r="AL339" s="140"/>
      <c r="AM339" s="140"/>
      <c r="AN339" s="140"/>
      <c r="AO339" s="140"/>
      <c r="AP339" s="140"/>
      <c r="AQ339" s="140"/>
      <c r="AR339" s="140"/>
      <c r="AS339" s="140"/>
      <c r="AT339" s="140"/>
      <c r="AU339" s="140"/>
      <c r="AV339" s="140"/>
      <c r="AW339" s="140"/>
      <c r="AX339" s="140"/>
      <c r="AY339" s="140"/>
      <c r="AZ339" s="140"/>
      <c r="BA339" s="140"/>
      <c r="BB339" s="140"/>
      <c r="BC339" s="140"/>
      <c r="BD339" s="140"/>
      <c r="BE339" s="140"/>
    </row>
    <row r="340" s="119" customFormat="1" ht="96" customHeight="1" outlineLevel="2" spans="1:57">
      <c r="A340" s="162">
        <f>1+N(A339)</f>
        <v>2</v>
      </c>
      <c r="B340" s="14" t="s">
        <v>166</v>
      </c>
      <c r="C340" s="15" t="s">
        <v>167</v>
      </c>
      <c r="D340" s="142" t="s">
        <v>63</v>
      </c>
      <c r="E340" s="143">
        <v>6.34</v>
      </c>
      <c r="F340" s="143">
        <f>$F$171</f>
        <v>80</v>
      </c>
      <c r="G340" s="143">
        <f>$G$171</f>
        <v>46.35</v>
      </c>
      <c r="H340" s="17">
        <f>$H$171</f>
        <v>50.6</v>
      </c>
      <c r="I340" s="17">
        <f>(F340+G340+H340)*$I$3</f>
        <v>17.695</v>
      </c>
      <c r="J340" s="18">
        <f>ROUND(SUM(F340:I340),2)</f>
        <v>194.65</v>
      </c>
      <c r="K340" s="19">
        <f>ROUND(J340*E340,2)</f>
        <v>1234.08</v>
      </c>
      <c r="L340" s="135"/>
      <c r="M340" s="139">
        <v>1</v>
      </c>
      <c r="N340" s="139"/>
      <c r="O340" s="139"/>
      <c r="P340" s="37">
        <f>Q340+Q340*R340+S340+T340+U340</f>
        <v>176.95</v>
      </c>
      <c r="Q340" s="99">
        <f>$Q$171</f>
        <v>45</v>
      </c>
      <c r="R340" s="163">
        <f>$R$171</f>
        <v>0.03</v>
      </c>
      <c r="S340" s="99">
        <f>$S$171</f>
        <v>80</v>
      </c>
      <c r="T340" s="99">
        <f>$T$171</f>
        <v>50.1</v>
      </c>
      <c r="U340" s="99">
        <f>$U$171</f>
        <v>0.5</v>
      </c>
      <c r="V340" s="37">
        <f>P340*E340</f>
        <v>1121.863</v>
      </c>
      <c r="W340" s="139"/>
      <c r="X340" s="139"/>
      <c r="Y340" s="139"/>
      <c r="Z340" s="139"/>
      <c r="AA340" s="139"/>
      <c r="AB340" s="139"/>
      <c r="AC340" s="139"/>
      <c r="AD340" s="139"/>
      <c r="AE340" s="139"/>
      <c r="AF340" s="140"/>
      <c r="AG340" s="140"/>
      <c r="AH340" s="140"/>
      <c r="AI340" s="140"/>
      <c r="AJ340" s="140"/>
      <c r="AK340" s="140"/>
      <c r="AL340" s="140"/>
      <c r="AM340" s="140"/>
      <c r="AN340" s="140"/>
      <c r="AO340" s="140"/>
      <c r="AP340" s="140"/>
      <c r="AQ340" s="140"/>
      <c r="AR340" s="140"/>
      <c r="AS340" s="140"/>
      <c r="AT340" s="140"/>
      <c r="AU340" s="140"/>
      <c r="AV340" s="140"/>
      <c r="AW340" s="140"/>
      <c r="AX340" s="140"/>
      <c r="AY340" s="140"/>
      <c r="AZ340" s="140"/>
      <c r="BA340" s="140"/>
      <c r="BB340" s="140"/>
      <c r="BC340" s="140"/>
      <c r="BD340" s="140"/>
      <c r="BE340" s="140"/>
    </row>
    <row r="341" s="119" customFormat="1" ht="96" customHeight="1" outlineLevel="2" spans="1:57">
      <c r="A341" s="145">
        <f>1+N(A340)</f>
        <v>3</v>
      </c>
      <c r="B341" s="146" t="s">
        <v>222</v>
      </c>
      <c r="C341" s="147" t="s">
        <v>223</v>
      </c>
      <c r="D341" s="148" t="s">
        <v>63</v>
      </c>
      <c r="E341" s="149">
        <v>4.66</v>
      </c>
      <c r="F341" s="149">
        <f>S341*$S$1</f>
        <v>80</v>
      </c>
      <c r="G341" s="149">
        <f>Q341*(1+R341)*$Q$1</f>
        <v>226.6</v>
      </c>
      <c r="H341" s="150">
        <f>(T341+U341)*$T$1</f>
        <v>50.6</v>
      </c>
      <c r="I341" s="150">
        <f>(F341+G341+H341)*$I$3</f>
        <v>35.72</v>
      </c>
      <c r="J341" s="151">
        <f>ROUND(SUM(F341:I341),2)</f>
        <v>392.92</v>
      </c>
      <c r="K341" s="152">
        <f>ROUND(J341*E341,2)</f>
        <v>1831.01</v>
      </c>
      <c r="L341" s="153"/>
      <c r="M341" s="139">
        <v>1</v>
      </c>
      <c r="N341" s="139"/>
      <c r="O341" s="139"/>
      <c r="P341" s="37">
        <f>Q341+Q341*R341+S341+T341+U341</f>
        <v>357.2</v>
      </c>
      <c r="Q341" s="71">
        <v>220</v>
      </c>
      <c r="R341" s="157">
        <v>0.03</v>
      </c>
      <c r="S341" s="71">
        <v>80</v>
      </c>
      <c r="T341" s="71">
        <v>50.1</v>
      </c>
      <c r="U341" s="71">
        <v>0.5</v>
      </c>
      <c r="V341" s="37">
        <f>P341*E341</f>
        <v>1664.552</v>
      </c>
      <c r="W341" s="139"/>
      <c r="X341" s="139"/>
      <c r="Y341" s="139"/>
      <c r="Z341" s="139"/>
      <c r="AA341" s="139"/>
      <c r="AB341" s="139"/>
      <c r="AC341" s="139"/>
      <c r="AD341" s="139"/>
      <c r="AE341" s="139"/>
      <c r="AF341" s="140"/>
      <c r="AG341" s="140"/>
      <c r="AH341" s="140"/>
      <c r="AI341" s="140"/>
      <c r="AJ341" s="140"/>
      <c r="AK341" s="140"/>
      <c r="AL341" s="140"/>
      <c r="AM341" s="140"/>
      <c r="AN341" s="140"/>
      <c r="AO341" s="140"/>
      <c r="AP341" s="140"/>
      <c r="AQ341" s="140"/>
      <c r="AR341" s="140"/>
      <c r="AS341" s="140"/>
      <c r="AT341" s="140"/>
      <c r="AU341" s="140"/>
      <c r="AV341" s="140"/>
      <c r="AW341" s="140"/>
      <c r="AX341" s="140"/>
      <c r="AY341" s="140"/>
      <c r="AZ341" s="140"/>
      <c r="BA341" s="140"/>
      <c r="BB341" s="140"/>
      <c r="BC341" s="140"/>
      <c r="BD341" s="140"/>
      <c r="BE341" s="140"/>
    </row>
    <row r="342" s="119" customFormat="1" ht="36" customHeight="1" outlineLevel="2" spans="1:57">
      <c r="A342" s="162">
        <f>1+N(A341)</f>
        <v>4</v>
      </c>
      <c r="B342" s="14" t="s">
        <v>68</v>
      </c>
      <c r="C342" s="15" t="s">
        <v>69</v>
      </c>
      <c r="D342" s="142" t="s">
        <v>70</v>
      </c>
      <c r="E342" s="143">
        <v>8.47</v>
      </c>
      <c r="F342" s="143">
        <f>$F$10</f>
        <v>12</v>
      </c>
      <c r="G342" s="143">
        <f>$G$10</f>
        <v>19.57</v>
      </c>
      <c r="H342" s="143">
        <f>$H$10</f>
        <v>0.5</v>
      </c>
      <c r="I342" s="17">
        <f>(F342+G342+H342)*$I$3</f>
        <v>3.207</v>
      </c>
      <c r="J342" s="18">
        <f>ROUND(SUM(F342:I342),2)</f>
        <v>35.28</v>
      </c>
      <c r="K342" s="19">
        <f>ROUND(J342*E342,2)</f>
        <v>298.82</v>
      </c>
      <c r="L342" s="135"/>
      <c r="M342" s="139">
        <v>1</v>
      </c>
      <c r="N342" s="139"/>
      <c r="O342" s="139"/>
      <c r="P342" s="37">
        <f>Q342+Q342*R342+S342+T342+U342</f>
        <v>32.07</v>
      </c>
      <c r="Q342" s="99">
        <f>$Q$10</f>
        <v>19</v>
      </c>
      <c r="R342" s="163">
        <f>$R$10</f>
        <v>0.03</v>
      </c>
      <c r="S342" s="99">
        <f>$S$10</f>
        <v>12</v>
      </c>
      <c r="T342" s="99">
        <f>$T$10</f>
        <v>0.3</v>
      </c>
      <c r="U342" s="99">
        <f>$U$10</f>
        <v>0.2</v>
      </c>
      <c r="V342" s="37">
        <f>P342*E342</f>
        <v>271.6329</v>
      </c>
      <c r="W342" s="139"/>
      <c r="X342" s="139"/>
      <c r="Y342" s="139"/>
      <c r="Z342" s="139"/>
      <c r="AA342" s="139"/>
      <c r="AB342" s="139"/>
      <c r="AC342" s="139"/>
      <c r="AD342" s="139"/>
      <c r="AE342" s="139"/>
      <c r="AF342" s="140"/>
      <c r="AG342" s="140"/>
      <c r="AH342" s="140"/>
      <c r="AI342" s="140"/>
      <c r="AJ342" s="140"/>
      <c r="AK342" s="140"/>
      <c r="AL342" s="140"/>
      <c r="AM342" s="140"/>
      <c r="AN342" s="140"/>
      <c r="AO342" s="140"/>
      <c r="AP342" s="140"/>
      <c r="AQ342" s="140"/>
      <c r="AR342" s="140"/>
      <c r="AS342" s="140"/>
      <c r="AT342" s="140"/>
      <c r="AU342" s="140"/>
      <c r="AV342" s="140"/>
      <c r="AW342" s="140"/>
      <c r="AX342" s="140"/>
      <c r="AY342" s="140"/>
      <c r="AZ342" s="140"/>
      <c r="BA342" s="140"/>
      <c r="BB342" s="140"/>
      <c r="BC342" s="140"/>
      <c r="BD342" s="140"/>
      <c r="BE342" s="140"/>
    </row>
    <row r="343" s="119" customFormat="1" ht="48" customHeight="1" outlineLevel="2" spans="1:57">
      <c r="A343" s="162">
        <f>1+N(A342)</f>
        <v>5</v>
      </c>
      <c r="B343" s="14" t="s">
        <v>71</v>
      </c>
      <c r="C343" s="15" t="s">
        <v>72</v>
      </c>
      <c r="D343" s="142" t="s">
        <v>63</v>
      </c>
      <c r="E343" s="143">
        <v>1.35</v>
      </c>
      <c r="F343" s="143">
        <f>$F$11</f>
        <v>40</v>
      </c>
      <c r="G343" s="143">
        <f>$G$11</f>
        <v>15</v>
      </c>
      <c r="H343" s="143">
        <f>$H$11</f>
        <v>0.8</v>
      </c>
      <c r="I343" s="17">
        <f>(F343+G343+H343)*$I$3</f>
        <v>5.58</v>
      </c>
      <c r="J343" s="18">
        <f>ROUND(SUM(F343:I343),2)</f>
        <v>61.38</v>
      </c>
      <c r="K343" s="19">
        <f>ROUND(J343*E343,2)</f>
        <v>82.86</v>
      </c>
      <c r="L343" s="135"/>
      <c r="M343" s="139">
        <v>1</v>
      </c>
      <c r="N343" s="139"/>
      <c r="O343" s="139"/>
      <c r="P343" s="37">
        <f>Q343+Q343*R343+S343+T343+U343</f>
        <v>55.8</v>
      </c>
      <c r="Q343" s="99">
        <f>$Q$11</f>
        <v>15</v>
      </c>
      <c r="R343" s="163">
        <f>$R$11</f>
        <v>0</v>
      </c>
      <c r="S343" s="99">
        <f>$S$11</f>
        <v>40</v>
      </c>
      <c r="T343" s="99">
        <f>$T$11</f>
        <v>0.5</v>
      </c>
      <c r="U343" s="99">
        <f>$U$11</f>
        <v>0.3</v>
      </c>
      <c r="V343" s="37">
        <f>P343*E343</f>
        <v>75.33</v>
      </c>
      <c r="W343" s="139"/>
      <c r="X343" s="139"/>
      <c r="Y343" s="139"/>
      <c r="Z343" s="139"/>
      <c r="AA343" s="139"/>
      <c r="AB343" s="139"/>
      <c r="AC343" s="139"/>
      <c r="AD343" s="139"/>
      <c r="AE343" s="139"/>
      <c r="AF343" s="140"/>
      <c r="AG343" s="140"/>
      <c r="AH343" s="140"/>
      <c r="AI343" s="140"/>
      <c r="AJ343" s="140"/>
      <c r="AK343" s="140"/>
      <c r="AL343" s="140"/>
      <c r="AM343" s="140"/>
      <c r="AN343" s="140"/>
      <c r="AO343" s="140"/>
      <c r="AP343" s="140"/>
      <c r="AQ343" s="140"/>
      <c r="AR343" s="140"/>
      <c r="AS343" s="140"/>
      <c r="AT343" s="140"/>
      <c r="AU343" s="140"/>
      <c r="AV343" s="140"/>
      <c r="AW343" s="140"/>
      <c r="AX343" s="140"/>
      <c r="AY343" s="140"/>
      <c r="AZ343" s="140"/>
      <c r="BA343" s="140"/>
      <c r="BB343" s="140"/>
      <c r="BC343" s="140"/>
      <c r="BD343" s="140"/>
      <c r="BE343" s="140"/>
    </row>
    <row r="344" s="119" customFormat="1" ht="24" customHeight="1" outlineLevel="1" spans="1:57">
      <c r="A344" s="141"/>
      <c r="B344" s="14" t="s">
        <v>73</v>
      </c>
      <c r="C344" s="15"/>
      <c r="D344" s="142"/>
      <c r="E344" s="143"/>
      <c r="F344" s="143"/>
      <c r="G344" s="143"/>
      <c r="H344" s="143"/>
      <c r="I344" s="143"/>
      <c r="J344" s="143"/>
      <c r="K344" s="144"/>
      <c r="L344" s="135"/>
      <c r="M344" s="139"/>
      <c r="N344" s="139"/>
      <c r="O344" s="139"/>
      <c r="P344" s="137"/>
      <c r="Q344" s="137"/>
      <c r="R344" s="138"/>
      <c r="S344" s="137"/>
      <c r="T344" s="137"/>
      <c r="U344" s="137"/>
      <c r="V344" s="137"/>
      <c r="W344" s="139"/>
      <c r="X344" s="139"/>
      <c r="Y344" s="139"/>
      <c r="Z344" s="139"/>
      <c r="AA344" s="139"/>
      <c r="AB344" s="139"/>
      <c r="AC344" s="139"/>
      <c r="AD344" s="139"/>
      <c r="AE344" s="139"/>
      <c r="AF344" s="140"/>
      <c r="AG344" s="140"/>
      <c r="AH344" s="140"/>
      <c r="AI344" s="140"/>
      <c r="AJ344" s="140"/>
      <c r="AK344" s="140"/>
      <c r="AL344" s="140"/>
      <c r="AM344" s="140"/>
      <c r="AN344" s="140"/>
      <c r="AO344" s="140"/>
      <c r="AP344" s="140"/>
      <c r="AQ344" s="140"/>
      <c r="AR344" s="140"/>
      <c r="AS344" s="140"/>
      <c r="AT344" s="140"/>
      <c r="AU344" s="140"/>
      <c r="AV344" s="140"/>
      <c r="AW344" s="140"/>
      <c r="AX344" s="140"/>
      <c r="AY344" s="140"/>
      <c r="AZ344" s="140"/>
      <c r="BA344" s="140"/>
      <c r="BB344" s="140"/>
      <c r="BC344" s="140"/>
      <c r="BD344" s="140"/>
      <c r="BE344" s="140"/>
    </row>
    <row r="345" s="119" customFormat="1" ht="60" customHeight="1" outlineLevel="2" spans="1:57">
      <c r="A345" s="145">
        <f t="shared" ref="A345:A356" si="81">1+N(A344)</f>
        <v>1</v>
      </c>
      <c r="B345" s="158" t="s">
        <v>224</v>
      </c>
      <c r="C345" s="147" t="s">
        <v>225</v>
      </c>
      <c r="D345" s="148" t="s">
        <v>63</v>
      </c>
      <c r="E345" s="149">
        <v>1.469</v>
      </c>
      <c r="F345" s="149">
        <f t="shared" ref="F345:F350" si="82">S345*$S$1</f>
        <v>35</v>
      </c>
      <c r="G345" s="149">
        <f t="shared" ref="G345:G350" si="83">Q345*(1+R345)*$Q$1</f>
        <v>519.12</v>
      </c>
      <c r="H345" s="149">
        <f t="shared" ref="H345:H350" si="84">(T345+U345)*$T$1</f>
        <v>54.7</v>
      </c>
      <c r="I345" s="150">
        <f t="shared" ref="I345:I356" si="85">(F345+G345+H345)*$I$3</f>
        <v>60.882</v>
      </c>
      <c r="J345" s="151">
        <f t="shared" ref="J345:J356" si="86">ROUND(SUM(F345:I345),2)</f>
        <v>669.7</v>
      </c>
      <c r="K345" s="152">
        <f t="shared" ref="K345:K356" si="87">ROUND(J345*E345,2)</f>
        <v>983.79</v>
      </c>
      <c r="L345" s="153"/>
      <c r="M345" s="139">
        <v>1</v>
      </c>
      <c r="N345" s="139"/>
      <c r="O345" s="139"/>
      <c r="P345" s="37">
        <f t="shared" ref="P345:P356" si="88">Q345+Q345*R345+S345+T345+U345</f>
        <v>608.82</v>
      </c>
      <c r="Q345" s="71">
        <v>504</v>
      </c>
      <c r="R345" s="157">
        <v>0.03</v>
      </c>
      <c r="S345" s="71">
        <v>35</v>
      </c>
      <c r="T345" s="71">
        <v>53.5</v>
      </c>
      <c r="U345" s="71">
        <v>1.2</v>
      </c>
      <c r="V345" s="37">
        <f t="shared" ref="V345:V356" si="89">P345*E345</f>
        <v>894.35658</v>
      </c>
      <c r="W345" s="139"/>
      <c r="X345" s="139"/>
      <c r="Y345" s="139"/>
      <c r="Z345" s="139"/>
      <c r="AA345" s="139"/>
      <c r="AB345" s="139"/>
      <c r="AC345" s="139"/>
      <c r="AD345" s="139"/>
      <c r="AE345" s="139"/>
      <c r="AF345" s="140"/>
      <c r="AG345" s="140"/>
      <c r="AH345" s="140"/>
      <c r="AI345" s="140"/>
      <c r="AJ345" s="140"/>
      <c r="AK345" s="140"/>
      <c r="AL345" s="140"/>
      <c r="AM345" s="140"/>
      <c r="AN345" s="140"/>
      <c r="AO345" s="140"/>
      <c r="AP345" s="140"/>
      <c r="AQ345" s="140"/>
      <c r="AR345" s="140"/>
      <c r="AS345" s="140"/>
      <c r="AT345" s="140"/>
      <c r="AU345" s="140"/>
      <c r="AV345" s="140"/>
      <c r="AW345" s="140"/>
      <c r="AX345" s="140"/>
      <c r="AY345" s="140"/>
      <c r="AZ345" s="140"/>
      <c r="BA345" s="140"/>
      <c r="BB345" s="140"/>
      <c r="BC345" s="140"/>
      <c r="BD345" s="140"/>
      <c r="BE345" s="140"/>
    </row>
    <row r="346" s="119" customFormat="1" ht="60" customHeight="1" outlineLevel="2" spans="1:57">
      <c r="A346" s="145">
        <f t="shared" si="81"/>
        <v>2</v>
      </c>
      <c r="B346" s="146" t="s">
        <v>226</v>
      </c>
      <c r="C346" s="147" t="s">
        <v>227</v>
      </c>
      <c r="D346" s="148" t="s">
        <v>63</v>
      </c>
      <c r="E346" s="149">
        <v>9.372</v>
      </c>
      <c r="F346" s="149">
        <f t="shared" si="82"/>
        <v>35</v>
      </c>
      <c r="G346" s="149">
        <f t="shared" si="83"/>
        <v>346.08</v>
      </c>
      <c r="H346" s="149">
        <f t="shared" si="84"/>
        <v>54.7</v>
      </c>
      <c r="I346" s="150">
        <f t="shared" si="85"/>
        <v>43.578</v>
      </c>
      <c r="J346" s="151">
        <f t="shared" si="86"/>
        <v>479.36</v>
      </c>
      <c r="K346" s="152">
        <f t="shared" si="87"/>
        <v>4492.56</v>
      </c>
      <c r="L346" s="153"/>
      <c r="M346" s="139">
        <v>1</v>
      </c>
      <c r="N346" s="139"/>
      <c r="O346" s="139"/>
      <c r="P346" s="37">
        <f t="shared" si="88"/>
        <v>435.78</v>
      </c>
      <c r="Q346" s="71">
        <v>336</v>
      </c>
      <c r="R346" s="157">
        <v>0.03</v>
      </c>
      <c r="S346" s="71">
        <v>35</v>
      </c>
      <c r="T346" s="71">
        <v>53.5</v>
      </c>
      <c r="U346" s="71">
        <v>1.2</v>
      </c>
      <c r="V346" s="37">
        <f t="shared" si="89"/>
        <v>4084.13016</v>
      </c>
      <c r="W346" s="139"/>
      <c r="X346" s="139"/>
      <c r="Y346" s="139"/>
      <c r="Z346" s="139"/>
      <c r="AA346" s="139"/>
      <c r="AB346" s="139"/>
      <c r="AC346" s="139"/>
      <c r="AD346" s="139"/>
      <c r="AE346" s="139"/>
      <c r="AF346" s="140"/>
      <c r="AG346" s="140"/>
      <c r="AH346" s="140"/>
      <c r="AI346" s="140"/>
      <c r="AJ346" s="140"/>
      <c r="AK346" s="140"/>
      <c r="AL346" s="140"/>
      <c r="AM346" s="140"/>
      <c r="AN346" s="140"/>
      <c r="AO346" s="140"/>
      <c r="AP346" s="140"/>
      <c r="AQ346" s="140"/>
      <c r="AR346" s="140"/>
      <c r="AS346" s="140"/>
      <c r="AT346" s="140"/>
      <c r="AU346" s="140"/>
      <c r="AV346" s="140"/>
      <c r="AW346" s="140"/>
      <c r="AX346" s="140"/>
      <c r="AY346" s="140"/>
      <c r="AZ346" s="140"/>
      <c r="BA346" s="140"/>
      <c r="BB346" s="140"/>
      <c r="BC346" s="140"/>
      <c r="BD346" s="140"/>
      <c r="BE346" s="140"/>
    </row>
    <row r="347" s="119" customFormat="1" ht="72" customHeight="1" outlineLevel="2" spans="1:57">
      <c r="A347" s="145">
        <f t="shared" si="81"/>
        <v>3</v>
      </c>
      <c r="B347" s="159" t="s">
        <v>228</v>
      </c>
      <c r="C347" s="147" t="s">
        <v>229</v>
      </c>
      <c r="D347" s="148" t="s">
        <v>63</v>
      </c>
      <c r="E347" s="149">
        <v>11.648</v>
      </c>
      <c r="F347" s="149">
        <f t="shared" si="82"/>
        <v>110</v>
      </c>
      <c r="G347" s="149">
        <f t="shared" si="83"/>
        <v>86.355</v>
      </c>
      <c r="H347" s="149">
        <f t="shared" si="84"/>
        <v>56.797</v>
      </c>
      <c r="I347" s="150">
        <f t="shared" si="85"/>
        <v>25.3152</v>
      </c>
      <c r="J347" s="151">
        <f t="shared" si="86"/>
        <v>278.47</v>
      </c>
      <c r="K347" s="152">
        <f t="shared" si="87"/>
        <v>3243.62</v>
      </c>
      <c r="L347" s="153"/>
      <c r="M347" s="139">
        <v>1</v>
      </c>
      <c r="N347" s="139"/>
      <c r="O347" s="139"/>
      <c r="P347" s="37">
        <f t="shared" si="88"/>
        <v>253.152</v>
      </c>
      <c r="Q347" s="71">
        <v>85.5</v>
      </c>
      <c r="R347" s="157">
        <v>0.01</v>
      </c>
      <c r="S347" s="71">
        <v>110</v>
      </c>
      <c r="T347" s="71">
        <v>55.997</v>
      </c>
      <c r="U347" s="71">
        <v>0.8</v>
      </c>
      <c r="V347" s="37">
        <f t="shared" si="89"/>
        <v>2948.714496</v>
      </c>
      <c r="W347" s="139"/>
      <c r="X347" s="139"/>
      <c r="Y347" s="139"/>
      <c r="Z347" s="139"/>
      <c r="AA347" s="139"/>
      <c r="AB347" s="139"/>
      <c r="AC347" s="139"/>
      <c r="AD347" s="139"/>
      <c r="AE347" s="139"/>
      <c r="AF347" s="140"/>
      <c r="AG347" s="140"/>
      <c r="AH347" s="140"/>
      <c r="AI347" s="140"/>
      <c r="AJ347" s="140"/>
      <c r="AK347" s="140"/>
      <c r="AL347" s="140"/>
      <c r="AM347" s="140"/>
      <c r="AN347" s="140"/>
      <c r="AO347" s="140"/>
      <c r="AP347" s="140"/>
      <c r="AQ347" s="140"/>
      <c r="AR347" s="140"/>
      <c r="AS347" s="140"/>
      <c r="AT347" s="140"/>
      <c r="AU347" s="140"/>
      <c r="AV347" s="140"/>
      <c r="AW347" s="140"/>
      <c r="AX347" s="140"/>
      <c r="AY347" s="140"/>
      <c r="AZ347" s="140"/>
      <c r="BA347" s="140"/>
      <c r="BB347" s="140"/>
      <c r="BC347" s="140"/>
      <c r="BD347" s="140"/>
      <c r="BE347" s="140"/>
    </row>
    <row r="348" s="119" customFormat="1" ht="60" customHeight="1" outlineLevel="2" spans="1:57">
      <c r="A348" s="145">
        <f t="shared" si="81"/>
        <v>4</v>
      </c>
      <c r="B348" s="159" t="s">
        <v>131</v>
      </c>
      <c r="C348" s="147" t="s">
        <v>230</v>
      </c>
      <c r="D348" s="148" t="s">
        <v>63</v>
      </c>
      <c r="E348" s="149">
        <f>0.355*2.4*2+0.375*0.25*3</f>
        <v>1.98525</v>
      </c>
      <c r="F348" s="149">
        <f t="shared" si="82"/>
        <v>110</v>
      </c>
      <c r="G348" s="149">
        <f t="shared" si="83"/>
        <v>454.5</v>
      </c>
      <c r="H348" s="149">
        <f t="shared" si="84"/>
        <v>55.2</v>
      </c>
      <c r="I348" s="150">
        <f t="shared" si="85"/>
        <v>61.97</v>
      </c>
      <c r="J348" s="151">
        <f t="shared" si="86"/>
        <v>681.67</v>
      </c>
      <c r="K348" s="152">
        <f t="shared" si="87"/>
        <v>1353.29</v>
      </c>
      <c r="L348" s="153"/>
      <c r="M348" s="139">
        <v>1</v>
      </c>
      <c r="N348" s="139"/>
      <c r="O348" s="139"/>
      <c r="P348" s="37">
        <f t="shared" si="88"/>
        <v>619.7</v>
      </c>
      <c r="Q348" s="71">
        <v>450</v>
      </c>
      <c r="R348" s="157">
        <v>0.01</v>
      </c>
      <c r="S348" s="71">
        <v>110</v>
      </c>
      <c r="T348" s="71">
        <v>54</v>
      </c>
      <c r="U348" s="71">
        <v>1.2</v>
      </c>
      <c r="V348" s="37">
        <f t="shared" si="89"/>
        <v>1230.259425</v>
      </c>
      <c r="W348" s="139"/>
      <c r="X348" s="139"/>
      <c r="Y348" s="139"/>
      <c r="Z348" s="139"/>
      <c r="AA348" s="139"/>
      <c r="AB348" s="139"/>
      <c r="AC348" s="139"/>
      <c r="AD348" s="139"/>
      <c r="AE348" s="139"/>
      <c r="AF348" s="140"/>
      <c r="AG348" s="140"/>
      <c r="AH348" s="140"/>
      <c r="AI348" s="140"/>
      <c r="AJ348" s="140"/>
      <c r="AK348" s="140"/>
      <c r="AL348" s="140"/>
      <c r="AM348" s="140"/>
      <c r="AN348" s="140"/>
      <c r="AO348" s="140"/>
      <c r="AP348" s="140"/>
      <c r="AQ348" s="140"/>
      <c r="AR348" s="140"/>
      <c r="AS348" s="140"/>
      <c r="AT348" s="140"/>
      <c r="AU348" s="140"/>
      <c r="AV348" s="140"/>
      <c r="AW348" s="140"/>
      <c r="AX348" s="140"/>
      <c r="AY348" s="140"/>
      <c r="AZ348" s="140"/>
      <c r="BA348" s="140"/>
      <c r="BB348" s="140"/>
      <c r="BC348" s="140"/>
      <c r="BD348" s="140"/>
      <c r="BE348" s="140"/>
    </row>
    <row r="349" s="119" customFormat="1" ht="60" customHeight="1" outlineLevel="2" spans="1:57">
      <c r="A349" s="145">
        <f t="shared" si="81"/>
        <v>5</v>
      </c>
      <c r="B349" s="159" t="s">
        <v>231</v>
      </c>
      <c r="C349" s="147" t="s">
        <v>232</v>
      </c>
      <c r="D349" s="148" t="s">
        <v>63</v>
      </c>
      <c r="E349" s="149">
        <f>0.133*2+(0.59-0.05)*3</f>
        <v>1.886</v>
      </c>
      <c r="F349" s="149">
        <f t="shared" si="82"/>
        <v>110</v>
      </c>
      <c r="G349" s="149">
        <f t="shared" si="83"/>
        <v>858.5</v>
      </c>
      <c r="H349" s="149">
        <f t="shared" si="84"/>
        <v>55.2</v>
      </c>
      <c r="I349" s="150">
        <f t="shared" si="85"/>
        <v>102.37</v>
      </c>
      <c r="J349" s="151">
        <f t="shared" si="86"/>
        <v>1126.07</v>
      </c>
      <c r="K349" s="152">
        <f t="shared" si="87"/>
        <v>2123.77</v>
      </c>
      <c r="L349" s="153"/>
      <c r="M349" s="139">
        <v>1</v>
      </c>
      <c r="N349" s="139"/>
      <c r="O349" s="139"/>
      <c r="P349" s="37">
        <f t="shared" si="88"/>
        <v>1023.7</v>
      </c>
      <c r="Q349" s="71">
        <v>850</v>
      </c>
      <c r="R349" s="157">
        <v>0.01</v>
      </c>
      <c r="S349" s="71">
        <v>110</v>
      </c>
      <c r="T349" s="71">
        <v>54</v>
      </c>
      <c r="U349" s="71">
        <v>1.2</v>
      </c>
      <c r="V349" s="37">
        <f t="shared" si="89"/>
        <v>1930.6982</v>
      </c>
      <c r="W349" s="139"/>
      <c r="X349" s="139"/>
      <c r="Y349" s="139"/>
      <c r="Z349" s="139"/>
      <c r="AA349" s="139"/>
      <c r="AB349" s="139"/>
      <c r="AC349" s="139"/>
      <c r="AD349" s="139"/>
      <c r="AE349" s="139"/>
      <c r="AF349" s="140"/>
      <c r="AG349" s="140"/>
      <c r="AH349" s="140"/>
      <c r="AI349" s="140"/>
      <c r="AJ349" s="140"/>
      <c r="AK349" s="140"/>
      <c r="AL349" s="140"/>
      <c r="AM349" s="140"/>
      <c r="AN349" s="140"/>
      <c r="AO349" s="140"/>
      <c r="AP349" s="140"/>
      <c r="AQ349" s="140"/>
      <c r="AR349" s="140"/>
      <c r="AS349" s="140"/>
      <c r="AT349" s="140"/>
      <c r="AU349" s="140"/>
      <c r="AV349" s="140"/>
      <c r="AW349" s="140"/>
      <c r="AX349" s="140"/>
      <c r="AY349" s="140"/>
      <c r="AZ349" s="140"/>
      <c r="BA349" s="140"/>
      <c r="BB349" s="140"/>
      <c r="BC349" s="140"/>
      <c r="BD349" s="140"/>
      <c r="BE349" s="140"/>
    </row>
    <row r="350" s="119" customFormat="1" ht="60" customHeight="1" outlineLevel="2" spans="1:57">
      <c r="A350" s="145">
        <f t="shared" si="81"/>
        <v>6</v>
      </c>
      <c r="B350" s="159" t="s">
        <v>233</v>
      </c>
      <c r="C350" s="147" t="s">
        <v>234</v>
      </c>
      <c r="D350" s="148" t="s">
        <v>63</v>
      </c>
      <c r="E350" s="149">
        <f>0.075*0.25*3</f>
        <v>0.05625</v>
      </c>
      <c r="F350" s="149">
        <f t="shared" si="82"/>
        <v>150</v>
      </c>
      <c r="G350" s="149">
        <f t="shared" si="83"/>
        <v>277.2</v>
      </c>
      <c r="H350" s="149">
        <f t="shared" si="84"/>
        <v>94</v>
      </c>
      <c r="I350" s="150">
        <f t="shared" si="85"/>
        <v>52.12</v>
      </c>
      <c r="J350" s="151">
        <f t="shared" si="86"/>
        <v>573.32</v>
      </c>
      <c r="K350" s="152">
        <f t="shared" si="87"/>
        <v>32.25</v>
      </c>
      <c r="L350" s="153"/>
      <c r="M350" s="139">
        <v>1</v>
      </c>
      <c r="N350" s="139"/>
      <c r="O350" s="139"/>
      <c r="P350" s="37">
        <f t="shared" si="88"/>
        <v>521.2</v>
      </c>
      <c r="Q350" s="71">
        <v>264</v>
      </c>
      <c r="R350" s="157">
        <v>0.05</v>
      </c>
      <c r="S350" s="71">
        <v>150</v>
      </c>
      <c r="T350" s="71">
        <v>92.5</v>
      </c>
      <c r="U350" s="71">
        <v>1.5</v>
      </c>
      <c r="V350" s="37">
        <f t="shared" si="89"/>
        <v>29.3175</v>
      </c>
      <c r="W350" s="139"/>
      <c r="X350" s="139"/>
      <c r="Y350" s="139"/>
      <c r="Z350" s="139"/>
      <c r="AA350" s="139"/>
      <c r="AB350" s="139"/>
      <c r="AC350" s="139"/>
      <c r="AD350" s="139"/>
      <c r="AE350" s="139"/>
      <c r="AF350" s="140"/>
      <c r="AG350" s="140"/>
      <c r="AH350" s="140"/>
      <c r="AI350" s="140"/>
      <c r="AJ350" s="140"/>
      <c r="AK350" s="140"/>
      <c r="AL350" s="140"/>
      <c r="AM350" s="140"/>
      <c r="AN350" s="140"/>
      <c r="AO350" s="140"/>
      <c r="AP350" s="140"/>
      <c r="AQ350" s="140"/>
      <c r="AR350" s="140"/>
      <c r="AS350" s="140"/>
      <c r="AT350" s="140"/>
      <c r="AU350" s="140"/>
      <c r="AV350" s="140"/>
      <c r="AW350" s="140"/>
      <c r="AX350" s="140"/>
      <c r="AY350" s="140"/>
      <c r="AZ350" s="140"/>
      <c r="BA350" s="140"/>
      <c r="BB350" s="140"/>
      <c r="BC350" s="140"/>
      <c r="BD350" s="140"/>
      <c r="BE350" s="140"/>
    </row>
    <row r="351" s="119" customFormat="1" ht="60" customHeight="1" outlineLevel="2" spans="1:57">
      <c r="A351" s="162">
        <f t="shared" si="81"/>
        <v>7</v>
      </c>
      <c r="B351" s="165" t="s">
        <v>85</v>
      </c>
      <c r="C351" s="166" t="s">
        <v>86</v>
      </c>
      <c r="D351" s="165" t="s">
        <v>63</v>
      </c>
      <c r="E351" s="143">
        <f>+(0.308+0.074)*0.95*2</f>
        <v>0.7258</v>
      </c>
      <c r="F351" s="143">
        <f>$F$19</f>
        <v>110</v>
      </c>
      <c r="G351" s="143">
        <f>$G$19</f>
        <v>454.5</v>
      </c>
      <c r="H351" s="143">
        <f>$H$19</f>
        <v>55.2</v>
      </c>
      <c r="I351" s="17">
        <f t="shared" si="85"/>
        <v>61.97</v>
      </c>
      <c r="J351" s="18">
        <f t="shared" si="86"/>
        <v>681.67</v>
      </c>
      <c r="K351" s="19">
        <f t="shared" si="87"/>
        <v>494.76</v>
      </c>
      <c r="L351" s="135"/>
      <c r="M351" s="139">
        <v>1</v>
      </c>
      <c r="N351" s="139"/>
      <c r="O351" s="139"/>
      <c r="P351" s="37">
        <f t="shared" si="88"/>
        <v>619.7</v>
      </c>
      <c r="Q351" s="99">
        <f>$Q$19</f>
        <v>450</v>
      </c>
      <c r="R351" s="163">
        <f>$R$19</f>
        <v>0.01</v>
      </c>
      <c r="S351" s="99">
        <f>$S$19</f>
        <v>110</v>
      </c>
      <c r="T351" s="99">
        <f>$T$19</f>
        <v>54</v>
      </c>
      <c r="U351" s="99">
        <f>$U$19</f>
        <v>1.2</v>
      </c>
      <c r="V351" s="37">
        <f t="shared" si="89"/>
        <v>449.77826</v>
      </c>
      <c r="W351" s="139"/>
      <c r="X351" s="139"/>
      <c r="Y351" s="139"/>
      <c r="Z351" s="139"/>
      <c r="AA351" s="139"/>
      <c r="AB351" s="139"/>
      <c r="AC351" s="139"/>
      <c r="AD351" s="139"/>
      <c r="AE351" s="139"/>
      <c r="AF351" s="140"/>
      <c r="AG351" s="140"/>
      <c r="AH351" s="140"/>
      <c r="AI351" s="140"/>
      <c r="AJ351" s="140"/>
      <c r="AK351" s="140"/>
      <c r="AL351" s="140"/>
      <c r="AM351" s="140"/>
      <c r="AN351" s="140"/>
      <c r="AO351" s="140"/>
      <c r="AP351" s="140"/>
      <c r="AQ351" s="140"/>
      <c r="AR351" s="140"/>
      <c r="AS351" s="140"/>
      <c r="AT351" s="140"/>
      <c r="AU351" s="140"/>
      <c r="AV351" s="140"/>
      <c r="AW351" s="140"/>
      <c r="AX351" s="140"/>
      <c r="AY351" s="140"/>
      <c r="AZ351" s="140"/>
      <c r="BA351" s="140"/>
      <c r="BB351" s="140"/>
      <c r="BC351" s="140"/>
      <c r="BD351" s="140"/>
      <c r="BE351" s="140"/>
    </row>
    <row r="352" s="119" customFormat="1" ht="48" customHeight="1" outlineLevel="2" spans="1:57">
      <c r="A352" s="162">
        <f t="shared" si="81"/>
        <v>8</v>
      </c>
      <c r="B352" s="165" t="s">
        <v>91</v>
      </c>
      <c r="C352" s="166" t="s">
        <v>92</v>
      </c>
      <c r="D352" s="165" t="s">
        <v>70</v>
      </c>
      <c r="E352" s="143">
        <v>10.924</v>
      </c>
      <c r="F352" s="143">
        <f>$F$22</f>
        <v>12</v>
      </c>
      <c r="G352" s="143">
        <f>$G$22</f>
        <v>25.75</v>
      </c>
      <c r="H352" s="143">
        <f>$H$22</f>
        <v>3.8</v>
      </c>
      <c r="I352" s="17">
        <f t="shared" si="85"/>
        <v>4.155</v>
      </c>
      <c r="J352" s="18">
        <f t="shared" si="86"/>
        <v>45.71</v>
      </c>
      <c r="K352" s="19">
        <f t="shared" si="87"/>
        <v>499.34</v>
      </c>
      <c r="L352" s="135"/>
      <c r="M352" s="139">
        <v>1</v>
      </c>
      <c r="N352" s="139"/>
      <c r="O352" s="139"/>
      <c r="P352" s="37">
        <f t="shared" si="88"/>
        <v>41.55</v>
      </c>
      <c r="Q352" s="99">
        <f>$Q$22</f>
        <v>25</v>
      </c>
      <c r="R352" s="163">
        <f>$R$22</f>
        <v>0.03</v>
      </c>
      <c r="S352" s="99">
        <f>$S$22</f>
        <v>12</v>
      </c>
      <c r="T352" s="99">
        <f>$T$22</f>
        <v>3.5</v>
      </c>
      <c r="U352" s="99">
        <f>$U$22</f>
        <v>0.3</v>
      </c>
      <c r="V352" s="37">
        <f t="shared" si="89"/>
        <v>453.8922</v>
      </c>
      <c r="W352" s="139"/>
      <c r="X352" s="139"/>
      <c r="Y352" s="139"/>
      <c r="Z352" s="139"/>
      <c r="AA352" s="139"/>
      <c r="AB352" s="139"/>
      <c r="AC352" s="139"/>
      <c r="AD352" s="139"/>
      <c r="AE352" s="139"/>
      <c r="AF352" s="140"/>
      <c r="AG352" s="140"/>
      <c r="AH352" s="140"/>
      <c r="AI352" s="140"/>
      <c r="AJ352" s="140"/>
      <c r="AK352" s="140"/>
      <c r="AL352" s="140"/>
      <c r="AM352" s="140"/>
      <c r="AN352" s="140"/>
      <c r="AO352" s="140"/>
      <c r="AP352" s="140"/>
      <c r="AQ352" s="140"/>
      <c r="AR352" s="140"/>
      <c r="AS352" s="140"/>
      <c r="AT352" s="140"/>
      <c r="AU352" s="140"/>
      <c r="AV352" s="140"/>
      <c r="AW352" s="140"/>
      <c r="AX352" s="140"/>
      <c r="AY352" s="140"/>
      <c r="AZ352" s="140"/>
      <c r="BA352" s="140"/>
      <c r="BB352" s="140"/>
      <c r="BC352" s="140"/>
      <c r="BD352" s="140"/>
      <c r="BE352" s="140"/>
    </row>
    <row r="353" s="119" customFormat="1" ht="36" customHeight="1" outlineLevel="2" spans="1:57">
      <c r="A353" s="145">
        <f t="shared" si="81"/>
        <v>9</v>
      </c>
      <c r="B353" s="159" t="s">
        <v>235</v>
      </c>
      <c r="C353" s="160" t="s">
        <v>236</v>
      </c>
      <c r="D353" s="159" t="s">
        <v>70</v>
      </c>
      <c r="E353" s="149">
        <f>3.95*2+5.22*3</f>
        <v>23.56</v>
      </c>
      <c r="F353" s="149">
        <f>S353*$S$1</f>
        <v>15</v>
      </c>
      <c r="G353" s="149">
        <f>Q353*(1+R353)*$Q$1</f>
        <v>18.7975</v>
      </c>
      <c r="H353" s="149">
        <f>(T353+U353)*$T$1</f>
        <v>3.8</v>
      </c>
      <c r="I353" s="150">
        <f t="shared" si="85"/>
        <v>3.75975</v>
      </c>
      <c r="J353" s="151">
        <f t="shared" si="86"/>
        <v>41.36</v>
      </c>
      <c r="K353" s="152">
        <f t="shared" si="87"/>
        <v>974.44</v>
      </c>
      <c r="L353" s="153"/>
      <c r="M353" s="139">
        <v>1</v>
      </c>
      <c r="N353" s="139"/>
      <c r="O353" s="139"/>
      <c r="P353" s="37">
        <f t="shared" si="88"/>
        <v>37.5975</v>
      </c>
      <c r="Q353" s="71">
        <v>18.25</v>
      </c>
      <c r="R353" s="157">
        <v>0.03</v>
      </c>
      <c r="S353" s="71">
        <v>15</v>
      </c>
      <c r="T353" s="71">
        <v>3.5</v>
      </c>
      <c r="U353" s="71">
        <v>0.3</v>
      </c>
      <c r="V353" s="37">
        <f t="shared" si="89"/>
        <v>885.7971</v>
      </c>
      <c r="W353" s="139"/>
      <c r="X353" s="139"/>
      <c r="Y353" s="139"/>
      <c r="Z353" s="139"/>
      <c r="AA353" s="139"/>
      <c r="AB353" s="139"/>
      <c r="AC353" s="139"/>
      <c r="AD353" s="139"/>
      <c r="AE353" s="139"/>
      <c r="AF353" s="140"/>
      <c r="AG353" s="140"/>
      <c r="AH353" s="140"/>
      <c r="AI353" s="140"/>
      <c r="AJ353" s="140"/>
      <c r="AK353" s="140"/>
      <c r="AL353" s="140"/>
      <c r="AM353" s="140"/>
      <c r="AN353" s="140"/>
      <c r="AO353" s="140"/>
      <c r="AP353" s="140"/>
      <c r="AQ353" s="140"/>
      <c r="AR353" s="140"/>
      <c r="AS353" s="140"/>
      <c r="AT353" s="140"/>
      <c r="AU353" s="140"/>
      <c r="AV353" s="140"/>
      <c r="AW353" s="140"/>
      <c r="AX353" s="140"/>
      <c r="AY353" s="140"/>
      <c r="AZ353" s="140"/>
      <c r="BA353" s="140"/>
      <c r="BB353" s="140"/>
      <c r="BC353" s="140"/>
      <c r="BD353" s="140"/>
      <c r="BE353" s="140"/>
    </row>
    <row r="354" s="119" customFormat="1" ht="36" customHeight="1" outlineLevel="2" spans="1:57">
      <c r="A354" s="145">
        <f t="shared" si="81"/>
        <v>10</v>
      </c>
      <c r="B354" s="159" t="s">
        <v>237</v>
      </c>
      <c r="C354" s="160" t="s">
        <v>238</v>
      </c>
      <c r="D354" s="159" t="s">
        <v>70</v>
      </c>
      <c r="E354" s="149">
        <v>3.26</v>
      </c>
      <c r="F354" s="149">
        <f>S354*$S$1</f>
        <v>15</v>
      </c>
      <c r="G354" s="149">
        <f>Q354*(1+R354)*$Q$1</f>
        <v>18.7975</v>
      </c>
      <c r="H354" s="149">
        <f>(T354+U354)*$T$1</f>
        <v>3.8</v>
      </c>
      <c r="I354" s="150">
        <f t="shared" si="85"/>
        <v>3.75975</v>
      </c>
      <c r="J354" s="151">
        <f t="shared" si="86"/>
        <v>41.36</v>
      </c>
      <c r="K354" s="152">
        <f t="shared" si="87"/>
        <v>134.83</v>
      </c>
      <c r="L354" s="153"/>
      <c r="M354" s="139">
        <v>1</v>
      </c>
      <c r="N354" s="139"/>
      <c r="O354" s="139"/>
      <c r="P354" s="37">
        <f t="shared" si="88"/>
        <v>37.5975</v>
      </c>
      <c r="Q354" s="71">
        <v>18.25</v>
      </c>
      <c r="R354" s="157">
        <v>0.03</v>
      </c>
      <c r="S354" s="71">
        <v>15</v>
      </c>
      <c r="T354" s="71">
        <v>3.5</v>
      </c>
      <c r="U354" s="71">
        <v>0.3</v>
      </c>
      <c r="V354" s="37">
        <f t="shared" si="89"/>
        <v>122.56785</v>
      </c>
      <c r="W354" s="139"/>
      <c r="X354" s="139"/>
      <c r="Y354" s="139"/>
      <c r="Z354" s="139"/>
      <c r="AA354" s="139"/>
      <c r="AB354" s="139"/>
      <c r="AC354" s="139"/>
      <c r="AD354" s="139"/>
      <c r="AE354" s="139"/>
      <c r="AF354" s="140"/>
      <c r="AG354" s="140"/>
      <c r="AH354" s="140"/>
      <c r="AI354" s="140"/>
      <c r="AJ354" s="140"/>
      <c r="AK354" s="140"/>
      <c r="AL354" s="140"/>
      <c r="AM354" s="140"/>
      <c r="AN354" s="140"/>
      <c r="AO354" s="140"/>
      <c r="AP354" s="140"/>
      <c r="AQ354" s="140"/>
      <c r="AR354" s="140"/>
      <c r="AS354" s="140"/>
      <c r="AT354" s="140"/>
      <c r="AU354" s="140"/>
      <c r="AV354" s="140"/>
      <c r="AW354" s="140"/>
      <c r="AX354" s="140"/>
      <c r="AY354" s="140"/>
      <c r="AZ354" s="140"/>
      <c r="BA354" s="140"/>
      <c r="BB354" s="140"/>
      <c r="BC354" s="140"/>
      <c r="BD354" s="140"/>
      <c r="BE354" s="140"/>
    </row>
    <row r="355" s="119" customFormat="1" ht="48" customHeight="1" outlineLevel="2" spans="1:57">
      <c r="A355" s="162">
        <f t="shared" si="81"/>
        <v>11</v>
      </c>
      <c r="B355" s="165" t="s">
        <v>99</v>
      </c>
      <c r="C355" s="166" t="s">
        <v>100</v>
      </c>
      <c r="D355" s="165" t="s">
        <v>70</v>
      </c>
      <c r="E355" s="143">
        <v>10.924</v>
      </c>
      <c r="F355" s="143">
        <f>$F$26</f>
        <v>12</v>
      </c>
      <c r="G355" s="143">
        <f>$G$26</f>
        <v>23.4325</v>
      </c>
      <c r="H355" s="143">
        <f>$H$26</f>
        <v>3.8</v>
      </c>
      <c r="I355" s="17">
        <f t="shared" si="85"/>
        <v>3.92325</v>
      </c>
      <c r="J355" s="18">
        <f t="shared" si="86"/>
        <v>43.16</v>
      </c>
      <c r="K355" s="19">
        <f t="shared" si="87"/>
        <v>471.48</v>
      </c>
      <c r="L355" s="135"/>
      <c r="M355" s="139">
        <v>1</v>
      </c>
      <c r="N355" s="139"/>
      <c r="O355" s="139"/>
      <c r="P355" s="37">
        <f t="shared" si="88"/>
        <v>39.2325</v>
      </c>
      <c r="Q355" s="99">
        <f>$Q$26</f>
        <v>22.75</v>
      </c>
      <c r="R355" s="163">
        <f>$R$26</f>
        <v>0.03</v>
      </c>
      <c r="S355" s="99">
        <f>$S$26</f>
        <v>12</v>
      </c>
      <c r="T355" s="99">
        <f>$T$26</f>
        <v>3.5</v>
      </c>
      <c r="U355" s="99">
        <f>$U$26</f>
        <v>0.3</v>
      </c>
      <c r="V355" s="37">
        <f t="shared" si="89"/>
        <v>428.57583</v>
      </c>
      <c r="W355" s="139"/>
      <c r="X355" s="139"/>
      <c r="Y355" s="139"/>
      <c r="Z355" s="139"/>
      <c r="AA355" s="139"/>
      <c r="AB355" s="139"/>
      <c r="AC355" s="139"/>
      <c r="AD355" s="139"/>
      <c r="AE355" s="139"/>
      <c r="AF355" s="140"/>
      <c r="AG355" s="140"/>
      <c r="AH355" s="140"/>
      <c r="AI355" s="140"/>
      <c r="AJ355" s="140"/>
      <c r="AK355" s="140"/>
      <c r="AL355" s="140"/>
      <c r="AM355" s="140"/>
      <c r="AN355" s="140"/>
      <c r="AO355" s="140"/>
      <c r="AP355" s="140"/>
      <c r="AQ355" s="140"/>
      <c r="AR355" s="140"/>
      <c r="AS355" s="140"/>
      <c r="AT355" s="140"/>
      <c r="AU355" s="140"/>
      <c r="AV355" s="140"/>
      <c r="AW355" s="140"/>
      <c r="AX355" s="140"/>
      <c r="AY355" s="140"/>
      <c r="AZ355" s="140"/>
      <c r="BA355" s="140"/>
      <c r="BB355" s="140"/>
      <c r="BC355" s="140"/>
      <c r="BD355" s="140"/>
      <c r="BE355" s="140"/>
    </row>
    <row r="356" s="119" customFormat="1" ht="36" customHeight="1" outlineLevel="2" spans="1:57">
      <c r="A356" s="145">
        <f t="shared" si="81"/>
        <v>12</v>
      </c>
      <c r="B356" s="159" t="s">
        <v>239</v>
      </c>
      <c r="C356" s="160" t="s">
        <v>240</v>
      </c>
      <c r="D356" s="159" t="s">
        <v>63</v>
      </c>
      <c r="E356" s="149">
        <f>4.9*0.095</f>
        <v>0.4655</v>
      </c>
      <c r="F356" s="149">
        <f>S356*$S$1</f>
        <v>110</v>
      </c>
      <c r="G356" s="149">
        <f>Q356*(1+R356)*$Q$1</f>
        <v>454.5</v>
      </c>
      <c r="H356" s="149">
        <f>(T356+U356)*$T$1</f>
        <v>55.2</v>
      </c>
      <c r="I356" s="150">
        <f t="shared" si="85"/>
        <v>61.97</v>
      </c>
      <c r="J356" s="151">
        <f t="shared" si="86"/>
        <v>681.67</v>
      </c>
      <c r="K356" s="152">
        <f t="shared" si="87"/>
        <v>317.32</v>
      </c>
      <c r="L356" s="153"/>
      <c r="M356" s="139">
        <v>1</v>
      </c>
      <c r="N356" s="139"/>
      <c r="O356" s="139"/>
      <c r="P356" s="37">
        <f t="shared" si="88"/>
        <v>619.7</v>
      </c>
      <c r="Q356" s="71">
        <v>450</v>
      </c>
      <c r="R356" s="157">
        <v>0.01</v>
      </c>
      <c r="S356" s="71">
        <v>110</v>
      </c>
      <c r="T356" s="71">
        <v>54</v>
      </c>
      <c r="U356" s="71">
        <v>1.2</v>
      </c>
      <c r="V356" s="37">
        <f t="shared" si="89"/>
        <v>288.47035</v>
      </c>
      <c r="W356" s="139"/>
      <c r="X356" s="139"/>
      <c r="Y356" s="139"/>
      <c r="Z356" s="139"/>
      <c r="AA356" s="139"/>
      <c r="AB356" s="139"/>
      <c r="AC356" s="139"/>
      <c r="AD356" s="139"/>
      <c r="AE356" s="139"/>
      <c r="AF356" s="140"/>
      <c r="AG356" s="140"/>
      <c r="AH356" s="140"/>
      <c r="AI356" s="140"/>
      <c r="AJ356" s="140"/>
      <c r="AK356" s="140"/>
      <c r="AL356" s="140"/>
      <c r="AM356" s="140"/>
      <c r="AN356" s="140"/>
      <c r="AO356" s="140"/>
      <c r="AP356" s="140"/>
      <c r="AQ356" s="140"/>
      <c r="AR356" s="140"/>
      <c r="AS356" s="140"/>
      <c r="AT356" s="140"/>
      <c r="AU356" s="140"/>
      <c r="AV356" s="140"/>
      <c r="AW356" s="140"/>
      <c r="AX356" s="140"/>
      <c r="AY356" s="140"/>
      <c r="AZ356" s="140"/>
      <c r="BA356" s="140"/>
      <c r="BB356" s="140"/>
      <c r="BC356" s="140"/>
      <c r="BD356" s="140"/>
      <c r="BE356" s="140"/>
    </row>
    <row r="357" s="119" customFormat="1" ht="24" customHeight="1" outlineLevel="1" spans="1:57">
      <c r="A357" s="141"/>
      <c r="B357" s="14" t="s">
        <v>101</v>
      </c>
      <c r="C357" s="15"/>
      <c r="D357" s="142"/>
      <c r="E357" s="143"/>
      <c r="F357" s="143"/>
      <c r="G357" s="143"/>
      <c r="H357" s="143"/>
      <c r="I357" s="143"/>
      <c r="J357" s="143"/>
      <c r="K357" s="144"/>
      <c r="L357" s="135"/>
      <c r="M357" s="139"/>
      <c r="N357" s="139"/>
      <c r="O357" s="139"/>
      <c r="P357" s="137"/>
      <c r="Q357" s="137"/>
      <c r="R357" s="138"/>
      <c r="S357" s="137"/>
      <c r="T357" s="137"/>
      <c r="U357" s="137"/>
      <c r="V357" s="137"/>
      <c r="W357" s="139"/>
      <c r="X357" s="139"/>
      <c r="Y357" s="139"/>
      <c r="Z357" s="139"/>
      <c r="AA357" s="139"/>
      <c r="AB357" s="139"/>
      <c r="AC357" s="139"/>
      <c r="AD357" s="139"/>
      <c r="AE357" s="139"/>
      <c r="AF357" s="140"/>
      <c r="AG357" s="140"/>
      <c r="AH357" s="140"/>
      <c r="AI357" s="140"/>
      <c r="AJ357" s="140"/>
      <c r="AK357" s="140"/>
      <c r="AL357" s="140"/>
      <c r="AM357" s="140"/>
      <c r="AN357" s="140"/>
      <c r="AO357" s="140"/>
      <c r="AP357" s="140"/>
      <c r="AQ357" s="140"/>
      <c r="AR357" s="140"/>
      <c r="AS357" s="140"/>
      <c r="AT357" s="140"/>
      <c r="AU357" s="140"/>
      <c r="AV357" s="140"/>
      <c r="AW357" s="140"/>
      <c r="AX357" s="140"/>
      <c r="AY357" s="140"/>
      <c r="AZ357" s="140"/>
      <c r="BA357" s="140"/>
      <c r="BB357" s="140"/>
      <c r="BC357" s="140"/>
      <c r="BD357" s="140"/>
      <c r="BE357" s="140"/>
    </row>
    <row r="358" s="119" customFormat="1" ht="96" customHeight="1" outlineLevel="2" spans="1:57">
      <c r="A358" s="162">
        <f>1+N(A357)</f>
        <v>1</v>
      </c>
      <c r="B358" s="14" t="s">
        <v>102</v>
      </c>
      <c r="C358" s="167" t="s">
        <v>103</v>
      </c>
      <c r="D358" s="142" t="s">
        <v>63</v>
      </c>
      <c r="E358" s="143">
        <v>11</v>
      </c>
      <c r="F358" s="143">
        <f>$F$28</f>
        <v>70</v>
      </c>
      <c r="G358" s="143">
        <f>$G$28</f>
        <v>0</v>
      </c>
      <c r="H358" s="143">
        <f>$H$28</f>
        <v>66.711</v>
      </c>
      <c r="I358" s="17">
        <f>(F358+G358+H358)*$I$3</f>
        <v>13.6711</v>
      </c>
      <c r="J358" s="18">
        <f>ROUND(SUM(F358:I358),2)</f>
        <v>150.38</v>
      </c>
      <c r="K358" s="19">
        <f>ROUND(J358*E358,2)</f>
        <v>1654.18</v>
      </c>
      <c r="L358" s="135"/>
      <c r="M358" s="139">
        <v>1</v>
      </c>
      <c r="N358" s="139"/>
      <c r="O358" s="139"/>
      <c r="P358" s="37">
        <f>Q358+Q358*R358+S358+T358+U358</f>
        <v>136.711</v>
      </c>
      <c r="Q358" s="99">
        <f>$Q$28</f>
        <v>0</v>
      </c>
      <c r="R358" s="163">
        <f>$R$28</f>
        <v>0.01</v>
      </c>
      <c r="S358" s="99">
        <f>$S$28</f>
        <v>70</v>
      </c>
      <c r="T358" s="99">
        <f>$T$28</f>
        <v>64.711</v>
      </c>
      <c r="U358" s="99">
        <f>$U$28</f>
        <v>2</v>
      </c>
      <c r="V358" s="37">
        <f>P358*E358</f>
        <v>1503.821</v>
      </c>
      <c r="W358" s="139"/>
      <c r="X358" s="139"/>
      <c r="Y358" s="139"/>
      <c r="Z358" s="139"/>
      <c r="AA358" s="139"/>
      <c r="AB358" s="139"/>
      <c r="AC358" s="139"/>
      <c r="AD358" s="139"/>
      <c r="AE358" s="139"/>
      <c r="AF358" s="140"/>
      <c r="AG358" s="140"/>
      <c r="AH358" s="140"/>
      <c r="AI358" s="140"/>
      <c r="AJ358" s="140"/>
      <c r="AK358" s="140"/>
      <c r="AL358" s="140"/>
      <c r="AM358" s="140"/>
      <c r="AN358" s="140"/>
      <c r="AO358" s="140"/>
      <c r="AP358" s="140"/>
      <c r="AQ358" s="140"/>
      <c r="AR358" s="140"/>
      <c r="AS358" s="140"/>
      <c r="AT358" s="140"/>
      <c r="AU358" s="140"/>
      <c r="AV358" s="140"/>
      <c r="AW358" s="140"/>
      <c r="AX358" s="140"/>
      <c r="AY358" s="140"/>
      <c r="AZ358" s="140"/>
      <c r="BA358" s="140"/>
      <c r="BB358" s="140"/>
      <c r="BC358" s="140"/>
      <c r="BD358" s="140"/>
      <c r="BE358" s="140"/>
    </row>
    <row r="359" s="119" customFormat="1" ht="48" customHeight="1" outlineLevel="2" spans="1:57">
      <c r="A359" s="162">
        <f>1+N(A358)</f>
        <v>2</v>
      </c>
      <c r="B359" s="14" t="s">
        <v>104</v>
      </c>
      <c r="C359" s="167" t="s">
        <v>105</v>
      </c>
      <c r="D359" s="142" t="s">
        <v>70</v>
      </c>
      <c r="E359" s="143">
        <v>9.1</v>
      </c>
      <c r="F359" s="143">
        <f>$F$29</f>
        <v>50</v>
      </c>
      <c r="G359" s="143">
        <f>$G$29</f>
        <v>0</v>
      </c>
      <c r="H359" s="143">
        <f>$H$29</f>
        <v>22.0941</v>
      </c>
      <c r="I359" s="17">
        <f>(F359+G359+H359)*$I$3</f>
        <v>7.20941</v>
      </c>
      <c r="J359" s="18">
        <f>ROUND(SUM(F359:I359),2)</f>
        <v>79.3</v>
      </c>
      <c r="K359" s="19">
        <f>ROUND(J359*E359,2)</f>
        <v>721.63</v>
      </c>
      <c r="L359" s="135"/>
      <c r="M359" s="139">
        <v>1</v>
      </c>
      <c r="N359" s="139"/>
      <c r="O359" s="139"/>
      <c r="P359" s="37">
        <f>Q359+Q359*R359+S359+T359+U359</f>
        <v>72.0941</v>
      </c>
      <c r="Q359" s="99">
        <f>$Q$29</f>
        <v>0</v>
      </c>
      <c r="R359" s="163">
        <f>$R$29</f>
        <v>0.01</v>
      </c>
      <c r="S359" s="99">
        <f>$S$29</f>
        <v>50</v>
      </c>
      <c r="T359" s="99">
        <f>$T$29</f>
        <v>22.0941</v>
      </c>
      <c r="U359" s="99">
        <f>$U$29</f>
        <v>0</v>
      </c>
      <c r="V359" s="37">
        <f>P359*E359</f>
        <v>656.05631</v>
      </c>
      <c r="W359" s="139"/>
      <c r="X359" s="139"/>
      <c r="Y359" s="139"/>
      <c r="Z359" s="139"/>
      <c r="AA359" s="139"/>
      <c r="AB359" s="139"/>
      <c r="AC359" s="139"/>
      <c r="AD359" s="139"/>
      <c r="AE359" s="139"/>
      <c r="AF359" s="140"/>
      <c r="AG359" s="140"/>
      <c r="AH359" s="140"/>
      <c r="AI359" s="140"/>
      <c r="AJ359" s="140"/>
      <c r="AK359" s="140"/>
      <c r="AL359" s="140"/>
      <c r="AM359" s="140"/>
      <c r="AN359" s="140"/>
      <c r="AO359" s="140"/>
      <c r="AP359" s="140"/>
      <c r="AQ359" s="140"/>
      <c r="AR359" s="140"/>
      <c r="AS359" s="140"/>
      <c r="AT359" s="140"/>
      <c r="AU359" s="140"/>
      <c r="AV359" s="140"/>
      <c r="AW359" s="140"/>
      <c r="AX359" s="140"/>
      <c r="AY359" s="140"/>
      <c r="AZ359" s="140"/>
      <c r="BA359" s="140"/>
      <c r="BB359" s="140"/>
      <c r="BC359" s="140"/>
      <c r="BD359" s="140"/>
      <c r="BE359" s="140"/>
    </row>
    <row r="360" s="119" customFormat="1" ht="48" customHeight="1" outlineLevel="2" spans="1:57">
      <c r="A360" s="162">
        <f>1+N(A359)</f>
        <v>3</v>
      </c>
      <c r="B360" s="14" t="s">
        <v>106</v>
      </c>
      <c r="C360" s="167" t="s">
        <v>107</v>
      </c>
      <c r="D360" s="142" t="s">
        <v>70</v>
      </c>
      <c r="E360" s="143">
        <v>9.1</v>
      </c>
      <c r="F360" s="143">
        <f>$F$30</f>
        <v>18</v>
      </c>
      <c r="G360" s="143">
        <f>$G$30</f>
        <v>163.255</v>
      </c>
      <c r="H360" s="143">
        <f>$H$30</f>
        <v>3.8</v>
      </c>
      <c r="I360" s="17">
        <f>(F360+G360+H360)*$I$3</f>
        <v>18.5055</v>
      </c>
      <c r="J360" s="18">
        <f>ROUND(SUM(F360:I360),2)</f>
        <v>203.56</v>
      </c>
      <c r="K360" s="19">
        <f>ROUND(J360*E360,2)</f>
        <v>1852.4</v>
      </c>
      <c r="L360" s="135"/>
      <c r="M360" s="139">
        <v>1</v>
      </c>
      <c r="N360" s="139"/>
      <c r="O360" s="139"/>
      <c r="P360" s="37">
        <f>Q360+Q360*R360+S360+T360+U360</f>
        <v>185.055</v>
      </c>
      <c r="Q360" s="99">
        <f>$Q$30</f>
        <v>158.5</v>
      </c>
      <c r="R360" s="163">
        <f>$R$30</f>
        <v>0.03</v>
      </c>
      <c r="S360" s="99">
        <f>$S$30</f>
        <v>18</v>
      </c>
      <c r="T360" s="99">
        <f>$T$30</f>
        <v>3.5</v>
      </c>
      <c r="U360" s="99">
        <f>$U$30</f>
        <v>0.3</v>
      </c>
      <c r="V360" s="37">
        <f>P360*E360</f>
        <v>1684.0005</v>
      </c>
      <c r="W360" s="139"/>
      <c r="X360" s="139"/>
      <c r="Y360" s="139"/>
      <c r="Z360" s="139"/>
      <c r="AA360" s="139"/>
      <c r="AB360" s="139"/>
      <c r="AC360" s="139"/>
      <c r="AD360" s="139"/>
      <c r="AE360" s="139"/>
      <c r="AF360" s="140"/>
      <c r="AG360" s="140"/>
      <c r="AH360" s="140"/>
      <c r="AI360" s="140"/>
      <c r="AJ360" s="140"/>
      <c r="AK360" s="140"/>
      <c r="AL360" s="140"/>
      <c r="AM360" s="140"/>
      <c r="AN360" s="140"/>
      <c r="AO360" s="140"/>
      <c r="AP360" s="140"/>
      <c r="AQ360" s="140"/>
      <c r="AR360" s="140"/>
      <c r="AS360" s="140"/>
      <c r="AT360" s="140"/>
      <c r="AU360" s="140"/>
      <c r="AV360" s="140"/>
      <c r="AW360" s="140"/>
      <c r="AX360" s="140"/>
      <c r="AY360" s="140"/>
      <c r="AZ360" s="140"/>
      <c r="BA360" s="140"/>
      <c r="BB360" s="140"/>
      <c r="BC360" s="140"/>
      <c r="BD360" s="140"/>
      <c r="BE360" s="140"/>
    </row>
    <row r="361" s="119" customFormat="1" ht="72" customHeight="1" outlineLevel="2" spans="1:57">
      <c r="A361" s="162">
        <f>1+N(A360)</f>
        <v>4</v>
      </c>
      <c r="B361" s="14" t="s">
        <v>110</v>
      </c>
      <c r="C361" s="167" t="s">
        <v>111</v>
      </c>
      <c r="D361" s="142" t="s">
        <v>63</v>
      </c>
      <c r="E361" s="143">
        <f>11+9.1*0.3</f>
        <v>13.73</v>
      </c>
      <c r="F361" s="143">
        <f>$F$32</f>
        <v>45</v>
      </c>
      <c r="G361" s="143">
        <f>$G$32</f>
        <v>85.5</v>
      </c>
      <c r="H361" s="143">
        <f>$H$32</f>
        <v>7.3</v>
      </c>
      <c r="I361" s="17">
        <f>(F361+G361+H361)*$I$3</f>
        <v>13.78</v>
      </c>
      <c r="J361" s="18">
        <f>ROUND(SUM(F361:I361),2)</f>
        <v>151.58</v>
      </c>
      <c r="K361" s="19">
        <f>ROUND(J361*E361,2)</f>
        <v>2081.19</v>
      </c>
      <c r="L361" s="135"/>
      <c r="M361" s="139">
        <v>1</v>
      </c>
      <c r="N361" s="139"/>
      <c r="O361" s="139"/>
      <c r="P361" s="37">
        <f>Q361+Q361*R361+S361+T361+U361</f>
        <v>137.8</v>
      </c>
      <c r="Q361" s="99">
        <f>$Q$32</f>
        <v>85.5</v>
      </c>
      <c r="R361" s="163">
        <f>$R$32</f>
        <v>0</v>
      </c>
      <c r="S361" s="99">
        <f>$S$32</f>
        <v>45</v>
      </c>
      <c r="T361" s="99">
        <f>$T$32</f>
        <v>6.5</v>
      </c>
      <c r="U361" s="99">
        <f>$U$32</f>
        <v>0.8</v>
      </c>
      <c r="V361" s="37">
        <f>P361*E361</f>
        <v>1891.994</v>
      </c>
      <c r="W361" s="139"/>
      <c r="X361" s="139"/>
      <c r="Y361" s="139"/>
      <c r="Z361" s="139"/>
      <c r="AA361" s="139"/>
      <c r="AB361" s="139"/>
      <c r="AC361" s="139"/>
      <c r="AD361" s="139"/>
      <c r="AE361" s="139"/>
      <c r="AF361" s="140"/>
      <c r="AG361" s="140"/>
      <c r="AH361" s="140"/>
      <c r="AI361" s="140"/>
      <c r="AJ361" s="140"/>
      <c r="AK361" s="140"/>
      <c r="AL361" s="140"/>
      <c r="AM361" s="140"/>
      <c r="AN361" s="140"/>
      <c r="AO361" s="140"/>
      <c r="AP361" s="140"/>
      <c r="AQ361" s="140"/>
      <c r="AR361" s="140"/>
      <c r="AS361" s="140"/>
      <c r="AT361" s="140"/>
      <c r="AU361" s="140"/>
      <c r="AV361" s="140"/>
      <c r="AW361" s="140"/>
      <c r="AX361" s="140"/>
      <c r="AY361" s="140"/>
      <c r="AZ361" s="140"/>
      <c r="BA361" s="140"/>
      <c r="BB361" s="140"/>
      <c r="BC361" s="140"/>
      <c r="BD361" s="140"/>
      <c r="BE361" s="140"/>
    </row>
    <row r="362" s="119" customFormat="1" ht="24" customHeight="1" outlineLevel="1" spans="1:57">
      <c r="A362" s="141"/>
      <c r="B362" s="14" t="s">
        <v>112</v>
      </c>
      <c r="C362" s="15"/>
      <c r="D362" s="142"/>
      <c r="E362" s="143"/>
      <c r="F362" s="143"/>
      <c r="G362" s="143"/>
      <c r="H362" s="143"/>
      <c r="I362" s="143"/>
      <c r="J362" s="143"/>
      <c r="K362" s="144"/>
      <c r="L362" s="135"/>
      <c r="M362" s="139"/>
      <c r="N362" s="139"/>
      <c r="O362" s="139"/>
      <c r="P362" s="137"/>
      <c r="Q362" s="137"/>
      <c r="R362" s="138"/>
      <c r="S362" s="137"/>
      <c r="T362" s="137"/>
      <c r="U362" s="137"/>
      <c r="V362" s="137"/>
      <c r="W362" s="139"/>
      <c r="X362" s="139"/>
      <c r="Y362" s="139"/>
      <c r="Z362" s="139"/>
      <c r="AA362" s="139"/>
      <c r="AB362" s="139"/>
      <c r="AC362" s="139"/>
      <c r="AD362" s="139"/>
      <c r="AE362" s="139"/>
      <c r="AF362" s="140"/>
      <c r="AG362" s="140"/>
      <c r="AH362" s="140"/>
      <c r="AI362" s="140"/>
      <c r="AJ362" s="140"/>
      <c r="AK362" s="140"/>
      <c r="AL362" s="140"/>
      <c r="AM362" s="140"/>
      <c r="AN362" s="140"/>
      <c r="AO362" s="140"/>
      <c r="AP362" s="140"/>
      <c r="AQ362" s="140"/>
      <c r="AR362" s="140"/>
      <c r="AS362" s="140"/>
      <c r="AT362" s="140"/>
      <c r="AU362" s="140"/>
      <c r="AV362" s="140"/>
      <c r="AW362" s="140"/>
      <c r="AX362" s="140"/>
      <c r="AY362" s="140"/>
      <c r="AZ362" s="140"/>
      <c r="BA362" s="140"/>
      <c r="BB362" s="140"/>
      <c r="BC362" s="140"/>
      <c r="BD362" s="140"/>
      <c r="BE362" s="140"/>
    </row>
    <row r="363" s="119" customFormat="1" ht="36" customHeight="1" outlineLevel="2" spans="1:57">
      <c r="A363" s="162">
        <f>1+N(A362)</f>
        <v>1</v>
      </c>
      <c r="B363" s="14" t="s">
        <v>126</v>
      </c>
      <c r="C363" s="15" t="s">
        <v>114</v>
      </c>
      <c r="D363" s="142" t="s">
        <v>63</v>
      </c>
      <c r="E363" s="143">
        <f>0.65*2.4</f>
        <v>1.56</v>
      </c>
      <c r="F363" s="143">
        <f>$F$60</f>
        <v>165</v>
      </c>
      <c r="G363" s="143">
        <f>$G$60</f>
        <v>85</v>
      </c>
      <c r="H363" s="143">
        <f>$H$60</f>
        <v>355.1744</v>
      </c>
      <c r="I363" s="17">
        <f>(F363+G363+H363)*$I$3</f>
        <v>60.51744</v>
      </c>
      <c r="J363" s="18">
        <f>ROUND(SUM(F363:I363),2)</f>
        <v>665.69</v>
      </c>
      <c r="K363" s="19">
        <f>ROUND(J363*E363,2)</f>
        <v>1038.48</v>
      </c>
      <c r="L363" s="135"/>
      <c r="M363" s="139">
        <v>1</v>
      </c>
      <c r="N363" s="139"/>
      <c r="O363" s="139"/>
      <c r="P363" s="37">
        <f>Q363+Q363*R363+S363+T363+U363</f>
        <v>605.1744</v>
      </c>
      <c r="Q363" s="99">
        <f>$Q$60</f>
        <v>85</v>
      </c>
      <c r="R363" s="163">
        <f>$R$60</f>
        <v>0</v>
      </c>
      <c r="S363" s="99">
        <f>$S$60</f>
        <v>165</v>
      </c>
      <c r="T363" s="99">
        <f>$T$60</f>
        <v>353.6744</v>
      </c>
      <c r="U363" s="99">
        <f>$U$60</f>
        <v>1.5</v>
      </c>
      <c r="V363" s="37">
        <f>P363*E363</f>
        <v>944.072064</v>
      </c>
      <c r="W363" s="139"/>
      <c r="X363" s="139"/>
      <c r="Y363" s="139"/>
      <c r="Z363" s="139"/>
      <c r="AA363" s="139"/>
      <c r="AB363" s="139"/>
      <c r="AC363" s="139"/>
      <c r="AD363" s="139"/>
      <c r="AE363" s="139"/>
      <c r="AF363" s="140"/>
      <c r="AG363" s="140"/>
      <c r="AH363" s="140"/>
      <c r="AI363" s="140"/>
      <c r="AJ363" s="140"/>
      <c r="AK363" s="140"/>
      <c r="AL363" s="140"/>
      <c r="AM363" s="140"/>
      <c r="AN363" s="140"/>
      <c r="AO363" s="140"/>
      <c r="AP363" s="140"/>
      <c r="AQ363" s="140"/>
      <c r="AR363" s="140"/>
      <c r="AS363" s="140"/>
      <c r="AT363" s="140"/>
      <c r="AU363" s="140"/>
      <c r="AV363" s="140"/>
      <c r="AW363" s="140"/>
      <c r="AX363" s="140"/>
      <c r="AY363" s="140"/>
      <c r="AZ363" s="140"/>
      <c r="BA363" s="140"/>
      <c r="BB363" s="140"/>
      <c r="BC363" s="140"/>
      <c r="BD363" s="140"/>
      <c r="BE363" s="140"/>
    </row>
    <row r="364" s="119" customFormat="1" ht="24" customHeight="1" outlineLevel="1" spans="1:57">
      <c r="A364" s="132" t="s">
        <v>119</v>
      </c>
      <c r="B364" s="8" t="s">
        <v>241</v>
      </c>
      <c r="C364" s="8"/>
      <c r="D364" s="133"/>
      <c r="E364" s="134"/>
      <c r="F364" s="134"/>
      <c r="G364" s="134"/>
      <c r="H364" s="134"/>
      <c r="I364" s="134"/>
      <c r="J364" s="134"/>
      <c r="K364" s="11"/>
      <c r="L364" s="135"/>
      <c r="M364" s="139"/>
      <c r="N364" s="139"/>
      <c r="O364" s="170" t="str">
        <f>_xlfn.DISPIMG("ID_6C951BC485714CB8855255795B662D86",1)</f>
        <v>=DISPIMG("ID_6C951BC485714CB8855255795B662D86",1)</v>
      </c>
      <c r="P364" s="137"/>
      <c r="Q364" s="137"/>
      <c r="R364" s="138"/>
      <c r="S364" s="137"/>
      <c r="T364" s="137"/>
      <c r="U364" s="137"/>
      <c r="V364" s="137"/>
      <c r="W364" s="139"/>
      <c r="X364" s="139"/>
      <c r="Y364" s="139"/>
      <c r="Z364" s="139"/>
      <c r="AA364" s="139"/>
      <c r="AB364" s="139"/>
      <c r="AC364" s="139"/>
      <c r="AD364" s="139"/>
      <c r="AE364" s="139"/>
      <c r="AF364" s="140"/>
      <c r="AG364" s="140"/>
      <c r="AH364" s="140"/>
      <c r="AI364" s="140"/>
      <c r="AJ364" s="140"/>
      <c r="AK364" s="140"/>
      <c r="AL364" s="140"/>
      <c r="AM364" s="140"/>
      <c r="AN364" s="140"/>
      <c r="AO364" s="140"/>
      <c r="AP364" s="140"/>
      <c r="AQ364" s="140"/>
      <c r="AR364" s="140"/>
      <c r="AS364" s="140"/>
      <c r="AT364" s="140"/>
      <c r="AU364" s="140"/>
      <c r="AV364" s="140"/>
      <c r="AW364" s="140"/>
      <c r="AX364" s="140"/>
      <c r="AY364" s="140"/>
      <c r="AZ364" s="140"/>
      <c r="BA364" s="140"/>
      <c r="BB364" s="140"/>
      <c r="BC364" s="140"/>
      <c r="BD364" s="140"/>
      <c r="BE364" s="140"/>
    </row>
    <row r="365" s="119" customFormat="1" ht="24" customHeight="1" outlineLevel="1" spans="1:57">
      <c r="A365" s="141"/>
      <c r="B365" s="14" t="s">
        <v>60</v>
      </c>
      <c r="C365" s="15"/>
      <c r="D365" s="142"/>
      <c r="E365" s="143"/>
      <c r="F365" s="143"/>
      <c r="G365" s="143"/>
      <c r="H365" s="143"/>
      <c r="I365" s="143"/>
      <c r="J365" s="143"/>
      <c r="K365" s="144"/>
      <c r="L365" s="135"/>
      <c r="M365" s="139"/>
      <c r="N365" s="139"/>
      <c r="O365" s="139"/>
      <c r="P365" s="137"/>
      <c r="Q365" s="137"/>
      <c r="R365" s="138"/>
      <c r="S365" s="137"/>
      <c r="T365" s="137"/>
      <c r="U365" s="137"/>
      <c r="V365" s="137"/>
      <c r="W365" s="139"/>
      <c r="X365" s="139"/>
      <c r="Y365" s="139"/>
      <c r="Z365" s="139"/>
      <c r="AA365" s="139"/>
      <c r="AB365" s="139"/>
      <c r="AC365" s="139"/>
      <c r="AD365" s="139"/>
      <c r="AE365" s="139"/>
      <c r="AF365" s="140"/>
      <c r="AG365" s="140"/>
      <c r="AH365" s="140"/>
      <c r="AI365" s="140"/>
      <c r="AJ365" s="140"/>
      <c r="AK365" s="140"/>
      <c r="AL365" s="140"/>
      <c r="AM365" s="140"/>
      <c r="AN365" s="140"/>
      <c r="AO365" s="140"/>
      <c r="AP365" s="140"/>
      <c r="AQ365" s="140"/>
      <c r="AR365" s="140"/>
      <c r="AS365" s="140"/>
      <c r="AT365" s="140"/>
      <c r="AU365" s="140"/>
      <c r="AV365" s="140"/>
      <c r="AW365" s="140"/>
      <c r="AX365" s="140"/>
      <c r="AY365" s="140"/>
      <c r="AZ365" s="140"/>
      <c r="BA365" s="140"/>
      <c r="BB365" s="140"/>
      <c r="BC365" s="140"/>
      <c r="BD365" s="140"/>
      <c r="BE365" s="140"/>
    </row>
    <row r="366" s="119" customFormat="1" ht="96" customHeight="1" outlineLevel="2" spans="1:57">
      <c r="A366" s="162">
        <f>1+N(A365)</f>
        <v>1</v>
      </c>
      <c r="B366" s="14" t="s">
        <v>220</v>
      </c>
      <c r="C366" s="15" t="s">
        <v>221</v>
      </c>
      <c r="D366" s="142" t="s">
        <v>63</v>
      </c>
      <c r="E366" s="143">
        <v>1.81</v>
      </c>
      <c r="F366" s="143">
        <f>$F$339</f>
        <v>130</v>
      </c>
      <c r="G366" s="143">
        <f>$G$339</f>
        <v>628.3</v>
      </c>
      <c r="H366" s="17">
        <f>$H$339</f>
        <v>47.7</v>
      </c>
      <c r="I366" s="17">
        <f>(F366+G366+H366)*$I$3</f>
        <v>80.6</v>
      </c>
      <c r="J366" s="18">
        <f>ROUND(SUM(F366:I366),2)</f>
        <v>886.6</v>
      </c>
      <c r="K366" s="19">
        <f>ROUND(J366*E366,2)</f>
        <v>1604.75</v>
      </c>
      <c r="L366" s="135"/>
      <c r="M366" s="139">
        <v>1</v>
      </c>
      <c r="N366" s="139"/>
      <c r="O366" s="139"/>
      <c r="P366" s="37">
        <f>Q366+Q366*R366+S366+T366+U366</f>
        <v>806</v>
      </c>
      <c r="Q366" s="99">
        <f>$Q$339</f>
        <v>610</v>
      </c>
      <c r="R366" s="163">
        <f>$R$339</f>
        <v>0.03</v>
      </c>
      <c r="S366" s="99">
        <f>$S$339</f>
        <v>130</v>
      </c>
      <c r="T366" s="99">
        <f>$T$339</f>
        <v>46.2</v>
      </c>
      <c r="U366" s="99">
        <f>$U$339</f>
        <v>1.5</v>
      </c>
      <c r="V366" s="37">
        <f>P366*E366</f>
        <v>1458.86</v>
      </c>
      <c r="W366" s="139"/>
      <c r="X366" s="139"/>
      <c r="Y366" s="139"/>
      <c r="Z366" s="139"/>
      <c r="AA366" s="139"/>
      <c r="AB366" s="139"/>
      <c r="AC366" s="139"/>
      <c r="AD366" s="139"/>
      <c r="AE366" s="139"/>
      <c r="AF366" s="140"/>
      <c r="AG366" s="140"/>
      <c r="AH366" s="140"/>
      <c r="AI366" s="140"/>
      <c r="AJ366" s="140"/>
      <c r="AK366" s="140"/>
      <c r="AL366" s="140"/>
      <c r="AM366" s="140"/>
      <c r="AN366" s="140"/>
      <c r="AO366" s="140"/>
      <c r="AP366" s="140"/>
      <c r="AQ366" s="140"/>
      <c r="AR366" s="140"/>
      <c r="AS366" s="140"/>
      <c r="AT366" s="140"/>
      <c r="AU366" s="140"/>
      <c r="AV366" s="140"/>
      <c r="AW366" s="140"/>
      <c r="AX366" s="140"/>
      <c r="AY366" s="140"/>
      <c r="AZ366" s="140"/>
      <c r="BA366" s="140"/>
      <c r="BB366" s="140"/>
      <c r="BC366" s="140"/>
      <c r="BD366" s="140"/>
      <c r="BE366" s="140"/>
    </row>
    <row r="367" s="119" customFormat="1" ht="96" customHeight="1" outlineLevel="2" spans="1:57">
      <c r="A367" s="162">
        <f>1+N(A366)</f>
        <v>2</v>
      </c>
      <c r="B367" s="14" t="s">
        <v>166</v>
      </c>
      <c r="C367" s="15" t="s">
        <v>167</v>
      </c>
      <c r="D367" s="142" t="s">
        <v>63</v>
      </c>
      <c r="E367" s="143">
        <v>8.58</v>
      </c>
      <c r="F367" s="143">
        <f>$F$171</f>
        <v>80</v>
      </c>
      <c r="G367" s="143">
        <f>$G$171</f>
        <v>46.35</v>
      </c>
      <c r="H367" s="17">
        <f>$H$171</f>
        <v>50.6</v>
      </c>
      <c r="I367" s="17">
        <f>(F367+G367+H367)*$I$3</f>
        <v>17.695</v>
      </c>
      <c r="J367" s="18">
        <f>ROUND(SUM(F367:I367),2)</f>
        <v>194.65</v>
      </c>
      <c r="K367" s="19">
        <f>ROUND(J367*E367,2)</f>
        <v>1670.1</v>
      </c>
      <c r="L367" s="178"/>
      <c r="M367" s="139">
        <v>1</v>
      </c>
      <c r="N367" s="139"/>
      <c r="O367" s="139"/>
      <c r="P367" s="37">
        <f>Q367+Q367*R367+S367+T367+U367</f>
        <v>176.95</v>
      </c>
      <c r="Q367" s="99">
        <f>$Q$171</f>
        <v>45</v>
      </c>
      <c r="R367" s="163">
        <f>$R$171</f>
        <v>0.03</v>
      </c>
      <c r="S367" s="99">
        <f>$S$171</f>
        <v>80</v>
      </c>
      <c r="T367" s="99">
        <f>$T$171</f>
        <v>50.1</v>
      </c>
      <c r="U367" s="99">
        <f>$U$171</f>
        <v>0.5</v>
      </c>
      <c r="V367" s="37">
        <f>P367*E367</f>
        <v>1518.231</v>
      </c>
      <c r="W367" s="139"/>
      <c r="X367" s="139"/>
      <c r="Y367" s="139"/>
      <c r="Z367" s="139"/>
      <c r="AA367" s="139"/>
      <c r="AB367" s="139"/>
      <c r="AC367" s="139"/>
      <c r="AD367" s="139"/>
      <c r="AE367" s="139"/>
      <c r="AF367" s="140"/>
      <c r="AG367" s="140"/>
      <c r="AH367" s="140"/>
      <c r="AI367" s="140"/>
      <c r="AJ367" s="140"/>
      <c r="AK367" s="140"/>
      <c r="AL367" s="140"/>
      <c r="AM367" s="140"/>
      <c r="AN367" s="140"/>
      <c r="AO367" s="140"/>
      <c r="AP367" s="140"/>
      <c r="AQ367" s="140"/>
      <c r="AR367" s="140"/>
      <c r="AS367" s="140"/>
      <c r="AT367" s="140"/>
      <c r="AU367" s="140"/>
      <c r="AV367" s="140"/>
      <c r="AW367" s="140"/>
      <c r="AX367" s="140"/>
      <c r="AY367" s="140"/>
      <c r="AZ367" s="140"/>
      <c r="BA367" s="140"/>
      <c r="BB367" s="140"/>
      <c r="BC367" s="140"/>
      <c r="BD367" s="140"/>
      <c r="BE367" s="140"/>
    </row>
    <row r="368" s="119" customFormat="1" ht="96" customHeight="1" outlineLevel="2" spans="1:57">
      <c r="A368" s="162">
        <f>1+N(A367)</f>
        <v>3</v>
      </c>
      <c r="B368" s="14" t="s">
        <v>222</v>
      </c>
      <c r="C368" s="15" t="s">
        <v>223</v>
      </c>
      <c r="D368" s="142" t="s">
        <v>63</v>
      </c>
      <c r="E368" s="143">
        <v>7.36</v>
      </c>
      <c r="F368" s="143">
        <f>$F$341</f>
        <v>80</v>
      </c>
      <c r="G368" s="143">
        <f>$G$341</f>
        <v>226.6</v>
      </c>
      <c r="H368" s="17">
        <f>$H$341</f>
        <v>50.6</v>
      </c>
      <c r="I368" s="17">
        <f>(F368+G368+H368)*$I$3</f>
        <v>35.72</v>
      </c>
      <c r="J368" s="18">
        <f>ROUND(SUM(F368:I368),2)</f>
        <v>392.92</v>
      </c>
      <c r="K368" s="19">
        <f>ROUND(J368*E368,2)</f>
        <v>2891.89</v>
      </c>
      <c r="L368" s="178"/>
      <c r="M368" s="139">
        <v>1</v>
      </c>
      <c r="N368" s="139"/>
      <c r="O368" s="139"/>
      <c r="P368" s="37">
        <f>Q368+Q368*R368+S368+T368+U368</f>
        <v>357.2</v>
      </c>
      <c r="Q368" s="99">
        <f>$Q$341</f>
        <v>220</v>
      </c>
      <c r="R368" s="163">
        <f>$R$341</f>
        <v>0.03</v>
      </c>
      <c r="S368" s="99">
        <f>$S$341</f>
        <v>80</v>
      </c>
      <c r="T368" s="99">
        <f>$T$341</f>
        <v>50.1</v>
      </c>
      <c r="U368" s="99">
        <f>$U$341</f>
        <v>0.5</v>
      </c>
      <c r="V368" s="37">
        <f>P368*E368</f>
        <v>2628.992</v>
      </c>
      <c r="W368" s="139"/>
      <c r="X368" s="139"/>
      <c r="Y368" s="139"/>
      <c r="Z368" s="139"/>
      <c r="AA368" s="139"/>
      <c r="AB368" s="139"/>
      <c r="AC368" s="139"/>
      <c r="AD368" s="139"/>
      <c r="AE368" s="139"/>
      <c r="AF368" s="140"/>
      <c r="AG368" s="140"/>
      <c r="AH368" s="140"/>
      <c r="AI368" s="140"/>
      <c r="AJ368" s="140"/>
      <c r="AK368" s="140"/>
      <c r="AL368" s="140"/>
      <c r="AM368" s="140"/>
      <c r="AN368" s="140"/>
      <c r="AO368" s="140"/>
      <c r="AP368" s="140"/>
      <c r="AQ368" s="140"/>
      <c r="AR368" s="140"/>
      <c r="AS368" s="140"/>
      <c r="AT368" s="140"/>
      <c r="AU368" s="140"/>
      <c r="AV368" s="140"/>
      <c r="AW368" s="140"/>
      <c r="AX368" s="140"/>
      <c r="AY368" s="140"/>
      <c r="AZ368" s="140"/>
      <c r="BA368" s="140"/>
      <c r="BB368" s="140"/>
      <c r="BC368" s="140"/>
      <c r="BD368" s="140"/>
      <c r="BE368" s="140"/>
    </row>
    <row r="369" s="119" customFormat="1" ht="36" customHeight="1" outlineLevel="2" spans="1:57">
      <c r="A369" s="162">
        <f>1+N(A368)</f>
        <v>4</v>
      </c>
      <c r="B369" s="14" t="s">
        <v>68</v>
      </c>
      <c r="C369" s="15" t="s">
        <v>69</v>
      </c>
      <c r="D369" s="142" t="s">
        <v>70</v>
      </c>
      <c r="E369" s="143">
        <v>11.3</v>
      </c>
      <c r="F369" s="143">
        <f>$F$10</f>
        <v>12</v>
      </c>
      <c r="G369" s="143">
        <f>$G$10</f>
        <v>19.57</v>
      </c>
      <c r="H369" s="143">
        <f>$H$10</f>
        <v>0.5</v>
      </c>
      <c r="I369" s="17">
        <f>(F369+G369+H369)*$I$3</f>
        <v>3.207</v>
      </c>
      <c r="J369" s="18">
        <f>ROUND(SUM(F369:I369),2)</f>
        <v>35.28</v>
      </c>
      <c r="K369" s="19">
        <f>ROUND(J369*E369,2)</f>
        <v>398.66</v>
      </c>
      <c r="L369" s="178"/>
      <c r="M369" s="139">
        <v>1</v>
      </c>
      <c r="N369" s="139"/>
      <c r="O369" s="139"/>
      <c r="P369" s="37">
        <f>Q369+Q369*R369+S369+T369+U369</f>
        <v>32.07</v>
      </c>
      <c r="Q369" s="99">
        <f>$Q$10</f>
        <v>19</v>
      </c>
      <c r="R369" s="163">
        <f>$R$10</f>
        <v>0.03</v>
      </c>
      <c r="S369" s="99">
        <f>$S$10</f>
        <v>12</v>
      </c>
      <c r="T369" s="99">
        <f>$T$10</f>
        <v>0.3</v>
      </c>
      <c r="U369" s="99">
        <f>$U$10</f>
        <v>0.2</v>
      </c>
      <c r="V369" s="37">
        <f>P369*E369</f>
        <v>362.391</v>
      </c>
      <c r="W369" s="139"/>
      <c r="X369" s="139"/>
      <c r="Y369" s="139"/>
      <c r="Z369" s="139"/>
      <c r="AA369" s="139"/>
      <c r="AB369" s="139"/>
      <c r="AC369" s="139"/>
      <c r="AD369" s="139"/>
      <c r="AE369" s="139"/>
      <c r="AF369" s="140"/>
      <c r="AG369" s="140"/>
      <c r="AH369" s="140"/>
      <c r="AI369" s="140"/>
      <c r="AJ369" s="140"/>
      <c r="AK369" s="140"/>
      <c r="AL369" s="140"/>
      <c r="AM369" s="140"/>
      <c r="AN369" s="140"/>
      <c r="AO369" s="140"/>
      <c r="AP369" s="140"/>
      <c r="AQ369" s="140"/>
      <c r="AR369" s="140"/>
      <c r="AS369" s="140"/>
      <c r="AT369" s="140"/>
      <c r="AU369" s="140"/>
      <c r="AV369" s="140"/>
      <c r="AW369" s="140"/>
      <c r="AX369" s="140"/>
      <c r="AY369" s="140"/>
      <c r="AZ369" s="140"/>
      <c r="BA369" s="140"/>
      <c r="BB369" s="140"/>
      <c r="BC369" s="140"/>
      <c r="BD369" s="140"/>
      <c r="BE369" s="140"/>
    </row>
    <row r="370" s="119" customFormat="1" ht="48" customHeight="1" outlineLevel="2" spans="1:57">
      <c r="A370" s="162">
        <f>1+N(A369)</f>
        <v>5</v>
      </c>
      <c r="B370" s="14" t="s">
        <v>71</v>
      </c>
      <c r="C370" s="15" t="s">
        <v>72</v>
      </c>
      <c r="D370" s="142" t="s">
        <v>63</v>
      </c>
      <c r="E370" s="143">
        <v>1.81</v>
      </c>
      <c r="F370" s="143">
        <f>$F$11</f>
        <v>40</v>
      </c>
      <c r="G370" s="143">
        <f>$G$11</f>
        <v>15</v>
      </c>
      <c r="H370" s="143">
        <f>$H$11</f>
        <v>0.8</v>
      </c>
      <c r="I370" s="17">
        <f>(F370+G370+H370)*$I$3</f>
        <v>5.58</v>
      </c>
      <c r="J370" s="18">
        <f>ROUND(SUM(F370:I370),2)</f>
        <v>61.38</v>
      </c>
      <c r="K370" s="19">
        <f>ROUND(J370*E370,2)</f>
        <v>111.1</v>
      </c>
      <c r="L370" s="178"/>
      <c r="M370" s="139">
        <v>1</v>
      </c>
      <c r="N370" s="139"/>
      <c r="O370" s="139"/>
      <c r="P370" s="37">
        <f>Q370+Q370*R370+S370+T370+U370</f>
        <v>55.8</v>
      </c>
      <c r="Q370" s="99">
        <f>$Q$11</f>
        <v>15</v>
      </c>
      <c r="R370" s="163">
        <f>$R$11</f>
        <v>0</v>
      </c>
      <c r="S370" s="99">
        <f>$S$11</f>
        <v>40</v>
      </c>
      <c r="T370" s="99">
        <f>$T$11</f>
        <v>0.5</v>
      </c>
      <c r="U370" s="99">
        <f>$U$11</f>
        <v>0.3</v>
      </c>
      <c r="V370" s="37">
        <f>P370*E370</f>
        <v>100.998</v>
      </c>
      <c r="W370" s="139"/>
      <c r="X370" s="139"/>
      <c r="Y370" s="139"/>
      <c r="Z370" s="139"/>
      <c r="AA370" s="139"/>
      <c r="AB370" s="139"/>
      <c r="AC370" s="139"/>
      <c r="AD370" s="139"/>
      <c r="AE370" s="139"/>
      <c r="AF370" s="140"/>
      <c r="AG370" s="140"/>
      <c r="AH370" s="140"/>
      <c r="AI370" s="140"/>
      <c r="AJ370" s="140"/>
      <c r="AK370" s="140"/>
      <c r="AL370" s="140"/>
      <c r="AM370" s="140"/>
      <c r="AN370" s="140"/>
      <c r="AO370" s="140"/>
      <c r="AP370" s="140"/>
      <c r="AQ370" s="140"/>
      <c r="AR370" s="140"/>
      <c r="AS370" s="140"/>
      <c r="AT370" s="140"/>
      <c r="AU370" s="140"/>
      <c r="AV370" s="140"/>
      <c r="AW370" s="140"/>
      <c r="AX370" s="140"/>
      <c r="AY370" s="140"/>
      <c r="AZ370" s="140"/>
      <c r="BA370" s="140"/>
      <c r="BB370" s="140"/>
      <c r="BC370" s="140"/>
      <c r="BD370" s="140"/>
      <c r="BE370" s="140"/>
    </row>
    <row r="371" s="119" customFormat="1" ht="24" customHeight="1" outlineLevel="1" spans="1:57">
      <c r="A371" s="141"/>
      <c r="B371" s="14" t="s">
        <v>73</v>
      </c>
      <c r="C371" s="15"/>
      <c r="D371" s="142"/>
      <c r="E371" s="143"/>
      <c r="F371" s="143"/>
      <c r="G371" s="143"/>
      <c r="H371" s="143"/>
      <c r="I371" s="143"/>
      <c r="J371" s="143"/>
      <c r="K371" s="144"/>
      <c r="L371" s="178"/>
      <c r="M371" s="139"/>
      <c r="N371" s="139"/>
      <c r="O371" s="139"/>
      <c r="P371" s="137"/>
      <c r="Q371" s="137"/>
      <c r="R371" s="138"/>
      <c r="S371" s="137"/>
      <c r="T371" s="137"/>
      <c r="U371" s="137"/>
      <c r="V371" s="137"/>
      <c r="W371" s="139"/>
      <c r="X371" s="139"/>
      <c r="Y371" s="139"/>
      <c r="Z371" s="139"/>
      <c r="AA371" s="139"/>
      <c r="AB371" s="139"/>
      <c r="AC371" s="139"/>
      <c r="AD371" s="139"/>
      <c r="AE371" s="139"/>
      <c r="AF371" s="140"/>
      <c r="AG371" s="140"/>
      <c r="AH371" s="140"/>
      <c r="AI371" s="140"/>
      <c r="AJ371" s="140"/>
      <c r="AK371" s="140"/>
      <c r="AL371" s="140"/>
      <c r="AM371" s="140"/>
      <c r="AN371" s="140"/>
      <c r="AO371" s="140"/>
      <c r="AP371" s="140"/>
      <c r="AQ371" s="140"/>
      <c r="AR371" s="140"/>
      <c r="AS371" s="140"/>
      <c r="AT371" s="140"/>
      <c r="AU371" s="140"/>
      <c r="AV371" s="140"/>
      <c r="AW371" s="140"/>
      <c r="AX371" s="140"/>
      <c r="AY371" s="140"/>
      <c r="AZ371" s="140"/>
      <c r="BA371" s="140"/>
      <c r="BB371" s="140"/>
      <c r="BC371" s="140"/>
      <c r="BD371" s="140"/>
      <c r="BE371" s="140"/>
    </row>
    <row r="372" s="119" customFormat="1" ht="60" customHeight="1" outlineLevel="2" spans="1:57">
      <c r="A372" s="162">
        <f t="shared" ref="A372:A383" si="90">1+N(A371)</f>
        <v>1</v>
      </c>
      <c r="B372" s="164" t="s">
        <v>224</v>
      </c>
      <c r="C372" s="15" t="s">
        <v>225</v>
      </c>
      <c r="D372" s="142" t="s">
        <v>63</v>
      </c>
      <c r="E372" s="143">
        <v>1.819</v>
      </c>
      <c r="F372" s="143">
        <f>$F$345</f>
        <v>35</v>
      </c>
      <c r="G372" s="143">
        <f>$G$345</f>
        <v>519.12</v>
      </c>
      <c r="H372" s="143">
        <f>$H$345</f>
        <v>54.7</v>
      </c>
      <c r="I372" s="17">
        <f t="shared" ref="I372:I383" si="91">(F372+G372+H372)*$I$3</f>
        <v>60.882</v>
      </c>
      <c r="J372" s="18">
        <f t="shared" ref="J372:J383" si="92">ROUND(SUM(F372:I372),2)</f>
        <v>669.7</v>
      </c>
      <c r="K372" s="19">
        <f t="shared" ref="K372:K383" si="93">ROUND(J372*E372,2)</f>
        <v>1218.18</v>
      </c>
      <c r="L372" s="178"/>
      <c r="M372" s="139">
        <v>1</v>
      </c>
      <c r="N372" s="139"/>
      <c r="O372" s="139"/>
      <c r="P372" s="37">
        <f t="shared" ref="P372:P383" si="94">Q372+Q372*R372+S372+T372+U372</f>
        <v>608.82</v>
      </c>
      <c r="Q372" s="99">
        <f>$Q$345</f>
        <v>504</v>
      </c>
      <c r="R372" s="163">
        <f>$R$345</f>
        <v>0.03</v>
      </c>
      <c r="S372" s="99">
        <f>$S$345</f>
        <v>35</v>
      </c>
      <c r="T372" s="99">
        <f>$T$345</f>
        <v>53.5</v>
      </c>
      <c r="U372" s="99">
        <f>$U$345</f>
        <v>1.2</v>
      </c>
      <c r="V372" s="37">
        <f t="shared" ref="V372:V383" si="95">P372*E372</f>
        <v>1107.44358</v>
      </c>
      <c r="W372" s="139"/>
      <c r="X372" s="139"/>
      <c r="Y372" s="139"/>
      <c r="Z372" s="139"/>
      <c r="AA372" s="139"/>
      <c r="AB372" s="139"/>
      <c r="AC372" s="139"/>
      <c r="AD372" s="139"/>
      <c r="AE372" s="139"/>
      <c r="AF372" s="140"/>
      <c r="AG372" s="140"/>
      <c r="AH372" s="140"/>
      <c r="AI372" s="140"/>
      <c r="AJ372" s="140"/>
      <c r="AK372" s="140"/>
      <c r="AL372" s="140"/>
      <c r="AM372" s="140"/>
      <c r="AN372" s="140"/>
      <c r="AO372" s="140"/>
      <c r="AP372" s="140"/>
      <c r="AQ372" s="140"/>
      <c r="AR372" s="140"/>
      <c r="AS372" s="140"/>
      <c r="AT372" s="140"/>
      <c r="AU372" s="140"/>
      <c r="AV372" s="140"/>
      <c r="AW372" s="140"/>
      <c r="AX372" s="140"/>
      <c r="AY372" s="140"/>
      <c r="AZ372" s="140"/>
      <c r="BA372" s="140"/>
      <c r="BB372" s="140"/>
      <c r="BC372" s="140"/>
      <c r="BD372" s="140"/>
      <c r="BE372" s="140"/>
    </row>
    <row r="373" s="119" customFormat="1" ht="60" customHeight="1" outlineLevel="2" spans="1:57">
      <c r="A373" s="162">
        <f t="shared" si="90"/>
        <v>2</v>
      </c>
      <c r="B373" s="14" t="s">
        <v>226</v>
      </c>
      <c r="C373" s="15" t="s">
        <v>227</v>
      </c>
      <c r="D373" s="142" t="s">
        <v>63</v>
      </c>
      <c r="E373" s="143">
        <v>10.859</v>
      </c>
      <c r="F373" s="143">
        <f>$F$346</f>
        <v>35</v>
      </c>
      <c r="G373" s="143">
        <f>$G$346</f>
        <v>346.08</v>
      </c>
      <c r="H373" s="143">
        <f>$H$346</f>
        <v>54.7</v>
      </c>
      <c r="I373" s="17">
        <f t="shared" si="91"/>
        <v>43.578</v>
      </c>
      <c r="J373" s="18">
        <f t="shared" si="92"/>
        <v>479.36</v>
      </c>
      <c r="K373" s="19">
        <f t="shared" si="93"/>
        <v>5205.37</v>
      </c>
      <c r="L373" s="178"/>
      <c r="M373" s="139">
        <v>1</v>
      </c>
      <c r="N373" s="139"/>
      <c r="O373" s="139"/>
      <c r="P373" s="37">
        <f t="shared" si="94"/>
        <v>435.78</v>
      </c>
      <c r="Q373" s="99">
        <f>$Q$346</f>
        <v>336</v>
      </c>
      <c r="R373" s="163">
        <f>$R$346</f>
        <v>0.03</v>
      </c>
      <c r="S373" s="99">
        <f>$S$346</f>
        <v>35</v>
      </c>
      <c r="T373" s="99">
        <f>$T$346</f>
        <v>53.5</v>
      </c>
      <c r="U373" s="99">
        <f>$U$346</f>
        <v>1.2</v>
      </c>
      <c r="V373" s="37">
        <f t="shared" si="95"/>
        <v>4732.13502</v>
      </c>
      <c r="W373" s="139"/>
      <c r="X373" s="139"/>
      <c r="Y373" s="139"/>
      <c r="Z373" s="139"/>
      <c r="AA373" s="139"/>
      <c r="AB373" s="139"/>
      <c r="AC373" s="139"/>
      <c r="AD373" s="139"/>
      <c r="AE373" s="139"/>
      <c r="AF373" s="140"/>
      <c r="AG373" s="140"/>
      <c r="AH373" s="140"/>
      <c r="AI373" s="140"/>
      <c r="AJ373" s="140"/>
      <c r="AK373" s="140"/>
      <c r="AL373" s="140"/>
      <c r="AM373" s="140"/>
      <c r="AN373" s="140"/>
      <c r="AO373" s="140"/>
      <c r="AP373" s="140"/>
      <c r="AQ373" s="140"/>
      <c r="AR373" s="140"/>
      <c r="AS373" s="140"/>
      <c r="AT373" s="140"/>
      <c r="AU373" s="140"/>
      <c r="AV373" s="140"/>
      <c r="AW373" s="140"/>
      <c r="AX373" s="140"/>
      <c r="AY373" s="140"/>
      <c r="AZ373" s="140"/>
      <c r="BA373" s="140"/>
      <c r="BB373" s="140"/>
      <c r="BC373" s="140"/>
      <c r="BD373" s="140"/>
      <c r="BE373" s="140"/>
    </row>
    <row r="374" s="119" customFormat="1" ht="72" customHeight="1" outlineLevel="2" spans="1:57">
      <c r="A374" s="162">
        <f t="shared" si="90"/>
        <v>3</v>
      </c>
      <c r="B374" s="165" t="s">
        <v>228</v>
      </c>
      <c r="C374" s="15" t="s">
        <v>229</v>
      </c>
      <c r="D374" s="142" t="s">
        <v>63</v>
      </c>
      <c r="E374" s="143">
        <v>18.319</v>
      </c>
      <c r="F374" s="143">
        <f>$F$347</f>
        <v>110</v>
      </c>
      <c r="G374" s="143">
        <f>$G$347</f>
        <v>86.355</v>
      </c>
      <c r="H374" s="143">
        <f>$H$347</f>
        <v>56.797</v>
      </c>
      <c r="I374" s="17">
        <f t="shared" si="91"/>
        <v>25.3152</v>
      </c>
      <c r="J374" s="18">
        <f t="shared" si="92"/>
        <v>278.47</v>
      </c>
      <c r="K374" s="19">
        <f t="shared" si="93"/>
        <v>5101.29</v>
      </c>
      <c r="L374" s="178"/>
      <c r="M374" s="139">
        <v>1</v>
      </c>
      <c r="N374" s="139"/>
      <c r="O374" s="139"/>
      <c r="P374" s="37">
        <f t="shared" si="94"/>
        <v>253.152</v>
      </c>
      <c r="Q374" s="99">
        <f>$Q$347</f>
        <v>85.5</v>
      </c>
      <c r="R374" s="163">
        <f>$R$347</f>
        <v>0.01</v>
      </c>
      <c r="S374" s="99">
        <f>$S$347</f>
        <v>110</v>
      </c>
      <c r="T374" s="99">
        <f>$T$347</f>
        <v>55.997</v>
      </c>
      <c r="U374" s="99">
        <f>$U$347</f>
        <v>0.8</v>
      </c>
      <c r="V374" s="37">
        <f t="shared" si="95"/>
        <v>4637.491488</v>
      </c>
      <c r="W374" s="139"/>
      <c r="X374" s="139"/>
      <c r="Y374" s="139"/>
      <c r="Z374" s="139"/>
      <c r="AA374" s="139"/>
      <c r="AB374" s="139"/>
      <c r="AC374" s="139"/>
      <c r="AD374" s="139"/>
      <c r="AE374" s="139"/>
      <c r="AF374" s="140"/>
      <c r="AG374" s="140"/>
      <c r="AH374" s="140"/>
      <c r="AI374" s="140"/>
      <c r="AJ374" s="140"/>
      <c r="AK374" s="140"/>
      <c r="AL374" s="140"/>
      <c r="AM374" s="140"/>
      <c r="AN374" s="140"/>
      <c r="AO374" s="140"/>
      <c r="AP374" s="140"/>
      <c r="AQ374" s="140"/>
      <c r="AR374" s="140"/>
      <c r="AS374" s="140"/>
      <c r="AT374" s="140"/>
      <c r="AU374" s="140"/>
      <c r="AV374" s="140"/>
      <c r="AW374" s="140"/>
      <c r="AX374" s="140"/>
      <c r="AY374" s="140"/>
      <c r="AZ374" s="140"/>
      <c r="BA374" s="140"/>
      <c r="BB374" s="140"/>
      <c r="BC374" s="140"/>
      <c r="BD374" s="140"/>
      <c r="BE374" s="140"/>
    </row>
    <row r="375" s="119" customFormat="1" ht="60" customHeight="1" outlineLevel="2" spans="1:57">
      <c r="A375" s="162">
        <f t="shared" si="90"/>
        <v>4</v>
      </c>
      <c r="B375" s="165" t="s">
        <v>131</v>
      </c>
      <c r="C375" s="15" t="s">
        <v>230</v>
      </c>
      <c r="D375" s="142" t="s">
        <v>63</v>
      </c>
      <c r="E375" s="143">
        <f>0.355*2.4*2+0.375*0.25*3</f>
        <v>1.98525</v>
      </c>
      <c r="F375" s="143">
        <f>$F$348</f>
        <v>110</v>
      </c>
      <c r="G375" s="143">
        <f>$G$348</f>
        <v>454.5</v>
      </c>
      <c r="H375" s="143">
        <f>$H$348</f>
        <v>55.2</v>
      </c>
      <c r="I375" s="17">
        <f t="shared" si="91"/>
        <v>61.97</v>
      </c>
      <c r="J375" s="18">
        <f t="shared" si="92"/>
        <v>681.67</v>
      </c>
      <c r="K375" s="19">
        <f t="shared" si="93"/>
        <v>1353.29</v>
      </c>
      <c r="L375" s="178"/>
      <c r="M375" s="139">
        <v>1</v>
      </c>
      <c r="N375" s="139"/>
      <c r="O375" s="139"/>
      <c r="P375" s="37">
        <f t="shared" si="94"/>
        <v>619.7</v>
      </c>
      <c r="Q375" s="99">
        <f>$Q$348</f>
        <v>450</v>
      </c>
      <c r="R375" s="163">
        <f>$R$348</f>
        <v>0.01</v>
      </c>
      <c r="S375" s="99">
        <f>$S$348</f>
        <v>110</v>
      </c>
      <c r="T375" s="99">
        <f>$T$348</f>
        <v>54</v>
      </c>
      <c r="U375" s="99">
        <f>$U$348</f>
        <v>1.2</v>
      </c>
      <c r="V375" s="37">
        <f t="shared" si="95"/>
        <v>1230.259425</v>
      </c>
      <c r="W375" s="139"/>
      <c r="X375" s="139"/>
      <c r="Y375" s="139"/>
      <c r="Z375" s="139"/>
      <c r="AA375" s="139"/>
      <c r="AB375" s="139"/>
      <c r="AC375" s="139"/>
      <c r="AD375" s="139"/>
      <c r="AE375" s="139"/>
      <c r="AF375" s="140"/>
      <c r="AG375" s="140"/>
      <c r="AH375" s="140"/>
      <c r="AI375" s="140"/>
      <c r="AJ375" s="140"/>
      <c r="AK375" s="140"/>
      <c r="AL375" s="140"/>
      <c r="AM375" s="140"/>
      <c r="AN375" s="140"/>
      <c r="AO375" s="140"/>
      <c r="AP375" s="140"/>
      <c r="AQ375" s="140"/>
      <c r="AR375" s="140"/>
      <c r="AS375" s="140"/>
      <c r="AT375" s="140"/>
      <c r="AU375" s="140"/>
      <c r="AV375" s="140"/>
      <c r="AW375" s="140"/>
      <c r="AX375" s="140"/>
      <c r="AY375" s="140"/>
      <c r="AZ375" s="140"/>
      <c r="BA375" s="140"/>
      <c r="BB375" s="140"/>
      <c r="BC375" s="140"/>
      <c r="BD375" s="140"/>
      <c r="BE375" s="140"/>
    </row>
    <row r="376" s="119" customFormat="1" ht="60" customHeight="1" outlineLevel="2" spans="1:57">
      <c r="A376" s="162">
        <f t="shared" si="90"/>
        <v>5</v>
      </c>
      <c r="B376" s="165" t="s">
        <v>231</v>
      </c>
      <c r="C376" s="15" t="s">
        <v>232</v>
      </c>
      <c r="D376" s="142" t="s">
        <v>63</v>
      </c>
      <c r="E376" s="143">
        <f>0.133*2+(0.59-0.05)*2+(0.78-0.05)</f>
        <v>2.076</v>
      </c>
      <c r="F376" s="143">
        <f>$F$349</f>
        <v>110</v>
      </c>
      <c r="G376" s="143">
        <f>$G$349</f>
        <v>858.5</v>
      </c>
      <c r="H376" s="143">
        <f>$H$349</f>
        <v>55.2</v>
      </c>
      <c r="I376" s="17">
        <f t="shared" si="91"/>
        <v>102.37</v>
      </c>
      <c r="J376" s="18">
        <f t="shared" si="92"/>
        <v>1126.07</v>
      </c>
      <c r="K376" s="19">
        <f t="shared" si="93"/>
        <v>2337.72</v>
      </c>
      <c r="L376" s="178"/>
      <c r="M376" s="139">
        <v>1</v>
      </c>
      <c r="N376" s="139"/>
      <c r="O376" s="139"/>
      <c r="P376" s="37">
        <f t="shared" si="94"/>
        <v>1023.7</v>
      </c>
      <c r="Q376" s="99">
        <f>$Q$349</f>
        <v>850</v>
      </c>
      <c r="R376" s="163">
        <f>$R$349</f>
        <v>0.01</v>
      </c>
      <c r="S376" s="99">
        <f>$S$349</f>
        <v>110</v>
      </c>
      <c r="T376" s="99">
        <f>$T$349</f>
        <v>54</v>
      </c>
      <c r="U376" s="99">
        <f>$U$349</f>
        <v>1.2</v>
      </c>
      <c r="V376" s="37">
        <f t="shared" si="95"/>
        <v>2125.2012</v>
      </c>
      <c r="W376" s="139"/>
      <c r="X376" s="139"/>
      <c r="Y376" s="139"/>
      <c r="Z376" s="139"/>
      <c r="AA376" s="139"/>
      <c r="AB376" s="139"/>
      <c r="AC376" s="139"/>
      <c r="AD376" s="139"/>
      <c r="AE376" s="139"/>
      <c r="AF376" s="140"/>
      <c r="AG376" s="140"/>
      <c r="AH376" s="140"/>
      <c r="AI376" s="140"/>
      <c r="AJ376" s="140"/>
      <c r="AK376" s="140"/>
      <c r="AL376" s="140"/>
      <c r="AM376" s="140"/>
      <c r="AN376" s="140"/>
      <c r="AO376" s="140"/>
      <c r="AP376" s="140"/>
      <c r="AQ376" s="140"/>
      <c r="AR376" s="140"/>
      <c r="AS376" s="140"/>
      <c r="AT376" s="140"/>
      <c r="AU376" s="140"/>
      <c r="AV376" s="140"/>
      <c r="AW376" s="140"/>
      <c r="AX376" s="140"/>
      <c r="AY376" s="140"/>
      <c r="AZ376" s="140"/>
      <c r="BA376" s="140"/>
      <c r="BB376" s="140"/>
      <c r="BC376" s="140"/>
      <c r="BD376" s="140"/>
      <c r="BE376" s="140"/>
    </row>
    <row r="377" s="119" customFormat="1" ht="60" customHeight="1" outlineLevel="2" spans="1:57">
      <c r="A377" s="162">
        <f t="shared" si="90"/>
        <v>6</v>
      </c>
      <c r="B377" s="165" t="s">
        <v>233</v>
      </c>
      <c r="C377" s="15" t="s">
        <v>234</v>
      </c>
      <c r="D377" s="142" t="s">
        <v>63</v>
      </c>
      <c r="E377" s="143">
        <f>0.075*0.25*3</f>
        <v>0.05625</v>
      </c>
      <c r="F377" s="143">
        <f>$F$350</f>
        <v>150</v>
      </c>
      <c r="G377" s="143">
        <f>$G$350</f>
        <v>277.2</v>
      </c>
      <c r="H377" s="143">
        <f>$H$350</f>
        <v>94</v>
      </c>
      <c r="I377" s="17">
        <f t="shared" si="91"/>
        <v>52.12</v>
      </c>
      <c r="J377" s="18">
        <f t="shared" si="92"/>
        <v>573.32</v>
      </c>
      <c r="K377" s="19">
        <f t="shared" si="93"/>
        <v>32.25</v>
      </c>
      <c r="L377" s="178"/>
      <c r="M377" s="139">
        <v>1</v>
      </c>
      <c r="N377" s="139"/>
      <c r="O377" s="139"/>
      <c r="P377" s="37">
        <f t="shared" si="94"/>
        <v>521.2</v>
      </c>
      <c r="Q377" s="99">
        <f>$Q$350</f>
        <v>264</v>
      </c>
      <c r="R377" s="163">
        <f>$R$350</f>
        <v>0.05</v>
      </c>
      <c r="S377" s="99">
        <f>$S$350</f>
        <v>150</v>
      </c>
      <c r="T377" s="99">
        <f>$T$350</f>
        <v>92.5</v>
      </c>
      <c r="U377" s="99">
        <f>$U$350</f>
        <v>1.5</v>
      </c>
      <c r="V377" s="37">
        <f t="shared" si="95"/>
        <v>29.3175</v>
      </c>
      <c r="W377" s="139"/>
      <c r="X377" s="139"/>
      <c r="Y377" s="139"/>
      <c r="Z377" s="139"/>
      <c r="AA377" s="139"/>
      <c r="AB377" s="139"/>
      <c r="AC377" s="139"/>
      <c r="AD377" s="139"/>
      <c r="AE377" s="139"/>
      <c r="AF377" s="140"/>
      <c r="AG377" s="140"/>
      <c r="AH377" s="140"/>
      <c r="AI377" s="140"/>
      <c r="AJ377" s="140"/>
      <c r="AK377" s="140"/>
      <c r="AL377" s="140"/>
      <c r="AM377" s="140"/>
      <c r="AN377" s="140"/>
      <c r="AO377" s="140"/>
      <c r="AP377" s="140"/>
      <c r="AQ377" s="140"/>
      <c r="AR377" s="140"/>
      <c r="AS377" s="140"/>
      <c r="AT377" s="140"/>
      <c r="AU377" s="140"/>
      <c r="AV377" s="140"/>
      <c r="AW377" s="140"/>
      <c r="AX377" s="140"/>
      <c r="AY377" s="140"/>
      <c r="AZ377" s="140"/>
      <c r="BA377" s="140"/>
      <c r="BB377" s="140"/>
      <c r="BC377" s="140"/>
      <c r="BD377" s="140"/>
      <c r="BE377" s="140"/>
    </row>
    <row r="378" s="119" customFormat="1" ht="60" customHeight="1" outlineLevel="2" spans="1:57">
      <c r="A378" s="162">
        <f t="shared" si="90"/>
        <v>7</v>
      </c>
      <c r="B378" s="165" t="s">
        <v>85</v>
      </c>
      <c r="C378" s="166" t="s">
        <v>86</v>
      </c>
      <c r="D378" s="165" t="s">
        <v>63</v>
      </c>
      <c r="E378" s="143">
        <f>+(0.308+0.074)*0.95*2</f>
        <v>0.7258</v>
      </c>
      <c r="F378" s="143">
        <f>$F$19</f>
        <v>110</v>
      </c>
      <c r="G378" s="143">
        <f>$G$19</f>
        <v>454.5</v>
      </c>
      <c r="H378" s="143">
        <f>$H$19</f>
        <v>55.2</v>
      </c>
      <c r="I378" s="17">
        <f t="shared" si="91"/>
        <v>61.97</v>
      </c>
      <c r="J378" s="18">
        <f t="shared" si="92"/>
        <v>681.67</v>
      </c>
      <c r="K378" s="19">
        <f t="shared" si="93"/>
        <v>494.76</v>
      </c>
      <c r="L378" s="178"/>
      <c r="M378" s="139">
        <v>1</v>
      </c>
      <c r="N378" s="139"/>
      <c r="O378" s="139"/>
      <c r="P378" s="37">
        <f t="shared" si="94"/>
        <v>619.7</v>
      </c>
      <c r="Q378" s="99">
        <f>$Q$19</f>
        <v>450</v>
      </c>
      <c r="R378" s="163">
        <f>$R$19</f>
        <v>0.01</v>
      </c>
      <c r="S378" s="99">
        <f>$S$19</f>
        <v>110</v>
      </c>
      <c r="T378" s="99">
        <f>$T$19</f>
        <v>54</v>
      </c>
      <c r="U378" s="99">
        <f>$U$19</f>
        <v>1.2</v>
      </c>
      <c r="V378" s="37">
        <f t="shared" si="95"/>
        <v>449.77826</v>
      </c>
      <c r="W378" s="139"/>
      <c r="X378" s="139"/>
      <c r="Y378" s="139"/>
      <c r="Z378" s="139"/>
      <c r="AA378" s="139"/>
      <c r="AB378" s="139"/>
      <c r="AC378" s="139"/>
      <c r="AD378" s="139"/>
      <c r="AE378" s="139"/>
      <c r="AF378" s="140"/>
      <c r="AG378" s="140"/>
      <c r="AH378" s="140"/>
      <c r="AI378" s="140"/>
      <c r="AJ378" s="140"/>
      <c r="AK378" s="140"/>
      <c r="AL378" s="140"/>
      <c r="AM378" s="140"/>
      <c r="AN378" s="140"/>
      <c r="AO378" s="140"/>
      <c r="AP378" s="140"/>
      <c r="AQ378" s="140"/>
      <c r="AR378" s="140"/>
      <c r="AS378" s="140"/>
      <c r="AT378" s="140"/>
      <c r="AU378" s="140"/>
      <c r="AV378" s="140"/>
      <c r="AW378" s="140"/>
      <c r="AX378" s="140"/>
      <c r="AY378" s="140"/>
      <c r="AZ378" s="140"/>
      <c r="BA378" s="140"/>
      <c r="BB378" s="140"/>
      <c r="BC378" s="140"/>
      <c r="BD378" s="140"/>
      <c r="BE378" s="140"/>
    </row>
    <row r="379" s="119" customFormat="1" ht="48" customHeight="1" outlineLevel="2" spans="1:57">
      <c r="A379" s="162">
        <f t="shared" si="90"/>
        <v>8</v>
      </c>
      <c r="B379" s="165" t="s">
        <v>91</v>
      </c>
      <c r="C379" s="166" t="s">
        <v>92</v>
      </c>
      <c r="D379" s="165" t="s">
        <v>70</v>
      </c>
      <c r="E379" s="143">
        <v>15.324</v>
      </c>
      <c r="F379" s="143">
        <f>$F$22</f>
        <v>12</v>
      </c>
      <c r="G379" s="143">
        <f>$G$22</f>
        <v>25.75</v>
      </c>
      <c r="H379" s="143">
        <f>$H$22</f>
        <v>3.8</v>
      </c>
      <c r="I379" s="17">
        <f t="shared" si="91"/>
        <v>4.155</v>
      </c>
      <c r="J379" s="18">
        <f t="shared" si="92"/>
        <v>45.71</v>
      </c>
      <c r="K379" s="19">
        <f t="shared" si="93"/>
        <v>700.46</v>
      </c>
      <c r="L379" s="178"/>
      <c r="M379" s="139">
        <v>1</v>
      </c>
      <c r="N379" s="139"/>
      <c r="O379" s="139"/>
      <c r="P379" s="37">
        <f t="shared" si="94"/>
        <v>41.55</v>
      </c>
      <c r="Q379" s="99">
        <f>$Q$22</f>
        <v>25</v>
      </c>
      <c r="R379" s="163">
        <f>$R$22</f>
        <v>0.03</v>
      </c>
      <c r="S379" s="99">
        <f>$S$22</f>
        <v>12</v>
      </c>
      <c r="T379" s="99">
        <f>$T$22</f>
        <v>3.5</v>
      </c>
      <c r="U379" s="99">
        <f>$U$22</f>
        <v>0.3</v>
      </c>
      <c r="V379" s="37">
        <f t="shared" si="95"/>
        <v>636.7122</v>
      </c>
      <c r="W379" s="139"/>
      <c r="X379" s="139"/>
      <c r="Y379" s="139"/>
      <c r="Z379" s="139"/>
      <c r="AA379" s="139"/>
      <c r="AB379" s="139"/>
      <c r="AC379" s="139"/>
      <c r="AD379" s="139"/>
      <c r="AE379" s="139"/>
      <c r="AF379" s="140"/>
      <c r="AG379" s="140"/>
      <c r="AH379" s="140"/>
      <c r="AI379" s="140"/>
      <c r="AJ379" s="140"/>
      <c r="AK379" s="140"/>
      <c r="AL379" s="140"/>
      <c r="AM379" s="140"/>
      <c r="AN379" s="140"/>
      <c r="AO379" s="140"/>
      <c r="AP379" s="140"/>
      <c r="AQ379" s="140"/>
      <c r="AR379" s="140"/>
      <c r="AS379" s="140"/>
      <c r="AT379" s="140"/>
      <c r="AU379" s="140"/>
      <c r="AV379" s="140"/>
      <c r="AW379" s="140"/>
      <c r="AX379" s="140"/>
      <c r="AY379" s="140"/>
      <c r="AZ379" s="140"/>
      <c r="BA379" s="140"/>
      <c r="BB379" s="140"/>
      <c r="BC379" s="140"/>
      <c r="BD379" s="140"/>
      <c r="BE379" s="140"/>
    </row>
    <row r="380" s="119" customFormat="1" ht="36" customHeight="1" outlineLevel="2" spans="1:57">
      <c r="A380" s="162">
        <f t="shared" si="90"/>
        <v>9</v>
      </c>
      <c r="B380" s="165" t="s">
        <v>235</v>
      </c>
      <c r="C380" s="166" t="s">
        <v>236</v>
      </c>
      <c r="D380" s="165" t="s">
        <v>70</v>
      </c>
      <c r="E380" s="143">
        <f>3.95*2+5.22*2+5.32</f>
        <v>23.66</v>
      </c>
      <c r="F380" s="143">
        <f>$F$353</f>
        <v>15</v>
      </c>
      <c r="G380" s="143">
        <f>$G$353</f>
        <v>18.7975</v>
      </c>
      <c r="H380" s="143">
        <f>$H$353</f>
        <v>3.8</v>
      </c>
      <c r="I380" s="17">
        <f t="shared" si="91"/>
        <v>3.75975</v>
      </c>
      <c r="J380" s="18">
        <f t="shared" si="92"/>
        <v>41.36</v>
      </c>
      <c r="K380" s="19">
        <f t="shared" si="93"/>
        <v>978.58</v>
      </c>
      <c r="L380" s="178"/>
      <c r="M380" s="139">
        <v>1</v>
      </c>
      <c r="N380" s="139"/>
      <c r="O380" s="139"/>
      <c r="P380" s="37">
        <f t="shared" si="94"/>
        <v>37.5975</v>
      </c>
      <c r="Q380" s="99">
        <f>$Q$353</f>
        <v>18.25</v>
      </c>
      <c r="R380" s="163">
        <f>$R$353</f>
        <v>0.03</v>
      </c>
      <c r="S380" s="99">
        <f>$S$353</f>
        <v>15</v>
      </c>
      <c r="T380" s="99">
        <f>$T$353</f>
        <v>3.5</v>
      </c>
      <c r="U380" s="99">
        <f>$U$353</f>
        <v>0.3</v>
      </c>
      <c r="V380" s="37">
        <f t="shared" si="95"/>
        <v>889.55685</v>
      </c>
      <c r="W380" s="139"/>
      <c r="X380" s="139"/>
      <c r="Y380" s="139"/>
      <c r="Z380" s="139"/>
      <c r="AA380" s="139"/>
      <c r="AB380" s="139"/>
      <c r="AC380" s="139"/>
      <c r="AD380" s="139"/>
      <c r="AE380" s="139"/>
      <c r="AF380" s="140"/>
      <c r="AG380" s="140"/>
      <c r="AH380" s="140"/>
      <c r="AI380" s="140"/>
      <c r="AJ380" s="140"/>
      <c r="AK380" s="140"/>
      <c r="AL380" s="140"/>
      <c r="AM380" s="140"/>
      <c r="AN380" s="140"/>
      <c r="AO380" s="140"/>
      <c r="AP380" s="140"/>
      <c r="AQ380" s="140"/>
      <c r="AR380" s="140"/>
      <c r="AS380" s="140"/>
      <c r="AT380" s="140"/>
      <c r="AU380" s="140"/>
      <c r="AV380" s="140"/>
      <c r="AW380" s="140"/>
      <c r="AX380" s="140"/>
      <c r="AY380" s="140"/>
      <c r="AZ380" s="140"/>
      <c r="BA380" s="140"/>
      <c r="BB380" s="140"/>
      <c r="BC380" s="140"/>
      <c r="BD380" s="140"/>
      <c r="BE380" s="140"/>
    </row>
    <row r="381" s="119" customFormat="1" ht="36" customHeight="1" outlineLevel="2" spans="1:57">
      <c r="A381" s="162">
        <f t="shared" si="90"/>
        <v>10</v>
      </c>
      <c r="B381" s="165" t="s">
        <v>237</v>
      </c>
      <c r="C381" s="166" t="s">
        <v>238</v>
      </c>
      <c r="D381" s="165" t="s">
        <v>70</v>
      </c>
      <c r="E381" s="143">
        <v>4.04</v>
      </c>
      <c r="F381" s="143">
        <f>$F$354</f>
        <v>15</v>
      </c>
      <c r="G381" s="143">
        <f>$G$354</f>
        <v>18.7975</v>
      </c>
      <c r="H381" s="143">
        <f>$H$354</f>
        <v>3.8</v>
      </c>
      <c r="I381" s="17">
        <f t="shared" si="91"/>
        <v>3.75975</v>
      </c>
      <c r="J381" s="18">
        <f t="shared" si="92"/>
        <v>41.36</v>
      </c>
      <c r="K381" s="19">
        <f t="shared" si="93"/>
        <v>167.09</v>
      </c>
      <c r="L381" s="178"/>
      <c r="M381" s="139">
        <v>1</v>
      </c>
      <c r="N381" s="139"/>
      <c r="O381" s="139"/>
      <c r="P381" s="37">
        <f t="shared" si="94"/>
        <v>37.5975</v>
      </c>
      <c r="Q381" s="99">
        <f>$Q$354</f>
        <v>18.25</v>
      </c>
      <c r="R381" s="163">
        <f>$R$354</f>
        <v>0.03</v>
      </c>
      <c r="S381" s="99">
        <f>$S$354</f>
        <v>15</v>
      </c>
      <c r="T381" s="99">
        <f>$T$354</f>
        <v>3.5</v>
      </c>
      <c r="U381" s="99">
        <f>$U$354</f>
        <v>0.3</v>
      </c>
      <c r="V381" s="37">
        <f t="shared" si="95"/>
        <v>151.8939</v>
      </c>
      <c r="W381" s="139"/>
      <c r="X381" s="139"/>
      <c r="Y381" s="139"/>
      <c r="Z381" s="139"/>
      <c r="AA381" s="139"/>
      <c r="AB381" s="139"/>
      <c r="AC381" s="139"/>
      <c r="AD381" s="139"/>
      <c r="AE381" s="139"/>
      <c r="AF381" s="140"/>
      <c r="AG381" s="140"/>
      <c r="AH381" s="140"/>
      <c r="AI381" s="140"/>
      <c r="AJ381" s="140"/>
      <c r="AK381" s="140"/>
      <c r="AL381" s="140"/>
      <c r="AM381" s="140"/>
      <c r="AN381" s="140"/>
      <c r="AO381" s="140"/>
      <c r="AP381" s="140"/>
      <c r="AQ381" s="140"/>
      <c r="AR381" s="140"/>
      <c r="AS381" s="140"/>
      <c r="AT381" s="140"/>
      <c r="AU381" s="140"/>
      <c r="AV381" s="140"/>
      <c r="AW381" s="140"/>
      <c r="AX381" s="140"/>
      <c r="AY381" s="140"/>
      <c r="AZ381" s="140"/>
      <c r="BA381" s="140"/>
      <c r="BB381" s="140"/>
      <c r="BC381" s="140"/>
      <c r="BD381" s="140"/>
      <c r="BE381" s="140"/>
    </row>
    <row r="382" s="119" customFormat="1" ht="48" customHeight="1" outlineLevel="2" spans="1:57">
      <c r="A382" s="162">
        <f t="shared" si="90"/>
        <v>11</v>
      </c>
      <c r="B382" s="165" t="s">
        <v>99</v>
      </c>
      <c r="C382" s="166" t="s">
        <v>100</v>
      </c>
      <c r="D382" s="165" t="s">
        <v>70</v>
      </c>
      <c r="E382" s="143">
        <v>15.324</v>
      </c>
      <c r="F382" s="143">
        <f>$F$26</f>
        <v>12</v>
      </c>
      <c r="G382" s="143">
        <f>$G$26</f>
        <v>23.4325</v>
      </c>
      <c r="H382" s="143">
        <f>$H$26</f>
        <v>3.8</v>
      </c>
      <c r="I382" s="17">
        <f t="shared" si="91"/>
        <v>3.92325</v>
      </c>
      <c r="J382" s="18">
        <f t="shared" si="92"/>
        <v>43.16</v>
      </c>
      <c r="K382" s="19">
        <f t="shared" si="93"/>
        <v>661.38</v>
      </c>
      <c r="L382" s="178"/>
      <c r="M382" s="139">
        <v>1</v>
      </c>
      <c r="N382" s="139"/>
      <c r="O382" s="139"/>
      <c r="P382" s="37">
        <f t="shared" si="94"/>
        <v>39.2325</v>
      </c>
      <c r="Q382" s="99">
        <f>$Q$26</f>
        <v>22.75</v>
      </c>
      <c r="R382" s="163">
        <f>$R$26</f>
        <v>0.03</v>
      </c>
      <c r="S382" s="99">
        <f>$S$26</f>
        <v>12</v>
      </c>
      <c r="T382" s="99">
        <f>$T$26</f>
        <v>3.5</v>
      </c>
      <c r="U382" s="99">
        <f>$U$26</f>
        <v>0.3</v>
      </c>
      <c r="V382" s="37">
        <f t="shared" si="95"/>
        <v>601.19883</v>
      </c>
      <c r="W382" s="139"/>
      <c r="X382" s="139"/>
      <c r="Y382" s="139"/>
      <c r="Z382" s="139"/>
      <c r="AA382" s="139"/>
      <c r="AB382" s="139"/>
      <c r="AC382" s="139"/>
      <c r="AD382" s="139"/>
      <c r="AE382" s="139"/>
      <c r="AF382" s="140"/>
      <c r="AG382" s="140"/>
      <c r="AH382" s="140"/>
      <c r="AI382" s="140"/>
      <c r="AJ382" s="140"/>
      <c r="AK382" s="140"/>
      <c r="AL382" s="140"/>
      <c r="AM382" s="140"/>
      <c r="AN382" s="140"/>
      <c r="AO382" s="140"/>
      <c r="AP382" s="140"/>
      <c r="AQ382" s="140"/>
      <c r="AR382" s="140"/>
      <c r="AS382" s="140"/>
      <c r="AT382" s="140"/>
      <c r="AU382" s="140"/>
      <c r="AV382" s="140"/>
      <c r="AW382" s="140"/>
      <c r="AX382" s="140"/>
      <c r="AY382" s="140"/>
      <c r="AZ382" s="140"/>
      <c r="BA382" s="140"/>
      <c r="BB382" s="140"/>
      <c r="BC382" s="140"/>
      <c r="BD382" s="140"/>
      <c r="BE382" s="140"/>
    </row>
    <row r="383" s="119" customFormat="1" ht="36" customHeight="1" outlineLevel="2" spans="1:57">
      <c r="A383" s="162">
        <f t="shared" si="90"/>
        <v>12</v>
      </c>
      <c r="B383" s="165" t="s">
        <v>239</v>
      </c>
      <c r="C383" s="166" t="s">
        <v>240</v>
      </c>
      <c r="D383" s="165" t="s">
        <v>63</v>
      </c>
      <c r="E383" s="143">
        <f>7.7*0.095</f>
        <v>0.7315</v>
      </c>
      <c r="F383" s="143">
        <f>$F$356</f>
        <v>110</v>
      </c>
      <c r="G383" s="143">
        <f>$G$356</f>
        <v>454.5</v>
      </c>
      <c r="H383" s="143">
        <f>$H$356</f>
        <v>55.2</v>
      </c>
      <c r="I383" s="17">
        <f t="shared" si="91"/>
        <v>61.97</v>
      </c>
      <c r="J383" s="18">
        <f t="shared" si="92"/>
        <v>681.67</v>
      </c>
      <c r="K383" s="19">
        <f t="shared" si="93"/>
        <v>498.64</v>
      </c>
      <c r="L383" s="178"/>
      <c r="M383" s="139">
        <v>1</v>
      </c>
      <c r="N383" s="139"/>
      <c r="O383" s="139"/>
      <c r="P383" s="37">
        <f t="shared" si="94"/>
        <v>619.7</v>
      </c>
      <c r="Q383" s="99">
        <f>$Q$356</f>
        <v>450</v>
      </c>
      <c r="R383" s="163">
        <f>$R$356</f>
        <v>0.01</v>
      </c>
      <c r="S383" s="99">
        <f>$S$356</f>
        <v>110</v>
      </c>
      <c r="T383" s="99">
        <f>$T$356</f>
        <v>54</v>
      </c>
      <c r="U383" s="99">
        <f>$U$356</f>
        <v>1.2</v>
      </c>
      <c r="V383" s="37">
        <f t="shared" si="95"/>
        <v>453.31055</v>
      </c>
      <c r="W383" s="139"/>
      <c r="X383" s="139"/>
      <c r="Y383" s="139"/>
      <c r="Z383" s="139"/>
      <c r="AA383" s="139"/>
      <c r="AB383" s="139"/>
      <c r="AC383" s="139"/>
      <c r="AD383" s="139"/>
      <c r="AE383" s="139"/>
      <c r="AF383" s="140"/>
      <c r="AG383" s="140"/>
      <c r="AH383" s="140"/>
      <c r="AI383" s="140"/>
      <c r="AJ383" s="140"/>
      <c r="AK383" s="140"/>
      <c r="AL383" s="140"/>
      <c r="AM383" s="140"/>
      <c r="AN383" s="140"/>
      <c r="AO383" s="140"/>
      <c r="AP383" s="140"/>
      <c r="AQ383" s="140"/>
      <c r="AR383" s="140"/>
      <c r="AS383" s="140"/>
      <c r="AT383" s="140"/>
      <c r="AU383" s="140"/>
      <c r="AV383" s="140"/>
      <c r="AW383" s="140"/>
      <c r="AX383" s="140"/>
      <c r="AY383" s="140"/>
      <c r="AZ383" s="140"/>
      <c r="BA383" s="140"/>
      <c r="BB383" s="140"/>
      <c r="BC383" s="140"/>
      <c r="BD383" s="140"/>
      <c r="BE383" s="140"/>
    </row>
    <row r="384" s="119" customFormat="1" ht="24" customHeight="1" outlineLevel="1" spans="1:57">
      <c r="A384" s="141"/>
      <c r="B384" s="14" t="s">
        <v>101</v>
      </c>
      <c r="C384" s="15"/>
      <c r="D384" s="142"/>
      <c r="E384" s="143"/>
      <c r="F384" s="143"/>
      <c r="G384" s="143"/>
      <c r="H384" s="143"/>
      <c r="I384" s="143"/>
      <c r="J384" s="143"/>
      <c r="K384" s="144"/>
      <c r="L384" s="178"/>
      <c r="M384" s="139"/>
      <c r="N384" s="139"/>
      <c r="O384" s="139"/>
      <c r="P384" s="137"/>
      <c r="Q384" s="137"/>
      <c r="R384" s="138"/>
      <c r="S384" s="137"/>
      <c r="T384" s="137"/>
      <c r="U384" s="137"/>
      <c r="V384" s="137"/>
      <c r="W384" s="139"/>
      <c r="X384" s="139"/>
      <c r="Y384" s="139"/>
      <c r="Z384" s="139"/>
      <c r="AA384" s="139"/>
      <c r="AB384" s="139"/>
      <c r="AC384" s="139"/>
      <c r="AD384" s="139"/>
      <c r="AE384" s="139"/>
      <c r="AF384" s="140"/>
      <c r="AG384" s="140"/>
      <c r="AH384" s="140"/>
      <c r="AI384" s="140"/>
      <c r="AJ384" s="140"/>
      <c r="AK384" s="140"/>
      <c r="AL384" s="140"/>
      <c r="AM384" s="140"/>
      <c r="AN384" s="140"/>
      <c r="AO384" s="140"/>
      <c r="AP384" s="140"/>
      <c r="AQ384" s="140"/>
      <c r="AR384" s="140"/>
      <c r="AS384" s="140"/>
      <c r="AT384" s="140"/>
      <c r="AU384" s="140"/>
      <c r="AV384" s="140"/>
      <c r="AW384" s="140"/>
      <c r="AX384" s="140"/>
      <c r="AY384" s="140"/>
      <c r="AZ384" s="140"/>
      <c r="BA384" s="140"/>
      <c r="BB384" s="140"/>
      <c r="BC384" s="140"/>
      <c r="BD384" s="140"/>
      <c r="BE384" s="140"/>
    </row>
    <row r="385" s="119" customFormat="1" ht="96" customHeight="1" outlineLevel="2" spans="1:57">
      <c r="A385" s="162">
        <f>1+N(A384)</f>
        <v>1</v>
      </c>
      <c r="B385" s="14" t="s">
        <v>102</v>
      </c>
      <c r="C385" s="167" t="s">
        <v>103</v>
      </c>
      <c r="D385" s="142" t="s">
        <v>63</v>
      </c>
      <c r="E385" s="143">
        <v>15.94</v>
      </c>
      <c r="F385" s="143">
        <f>$F$28</f>
        <v>70</v>
      </c>
      <c r="G385" s="143">
        <f>$G$28</f>
        <v>0</v>
      </c>
      <c r="H385" s="143">
        <f>$H$28</f>
        <v>66.711</v>
      </c>
      <c r="I385" s="17">
        <f>(F385+G385+H385)*$I$3</f>
        <v>13.6711</v>
      </c>
      <c r="J385" s="18">
        <f>ROUND(SUM(F385:I385),2)</f>
        <v>150.38</v>
      </c>
      <c r="K385" s="19">
        <f>ROUND(J385*E385,2)</f>
        <v>2397.06</v>
      </c>
      <c r="L385" s="178"/>
      <c r="M385" s="139">
        <v>1</v>
      </c>
      <c r="N385" s="139"/>
      <c r="O385" s="139"/>
      <c r="P385" s="37">
        <f>Q385+Q385*R385+S385+T385+U385</f>
        <v>136.711</v>
      </c>
      <c r="Q385" s="99">
        <f>$Q$28</f>
        <v>0</v>
      </c>
      <c r="R385" s="163">
        <f>$R$28</f>
        <v>0.01</v>
      </c>
      <c r="S385" s="99">
        <f>$S$28</f>
        <v>70</v>
      </c>
      <c r="T385" s="99">
        <f>$T$28</f>
        <v>64.711</v>
      </c>
      <c r="U385" s="99">
        <f>$U$28</f>
        <v>2</v>
      </c>
      <c r="V385" s="37">
        <f>P385*E385</f>
        <v>2179.17334</v>
      </c>
      <c r="W385" s="139"/>
      <c r="X385" s="139"/>
      <c r="Y385" s="139"/>
      <c r="Z385" s="139"/>
      <c r="AA385" s="139"/>
      <c r="AB385" s="139"/>
      <c r="AC385" s="139"/>
      <c r="AD385" s="139"/>
      <c r="AE385" s="139"/>
      <c r="AF385" s="140"/>
      <c r="AG385" s="140"/>
      <c r="AH385" s="140"/>
      <c r="AI385" s="140"/>
      <c r="AJ385" s="140"/>
      <c r="AK385" s="140"/>
      <c r="AL385" s="140"/>
      <c r="AM385" s="140"/>
      <c r="AN385" s="140"/>
      <c r="AO385" s="140"/>
      <c r="AP385" s="140"/>
      <c r="AQ385" s="140"/>
      <c r="AR385" s="140"/>
      <c r="AS385" s="140"/>
      <c r="AT385" s="140"/>
      <c r="AU385" s="140"/>
      <c r="AV385" s="140"/>
      <c r="AW385" s="140"/>
      <c r="AX385" s="140"/>
      <c r="AY385" s="140"/>
      <c r="AZ385" s="140"/>
      <c r="BA385" s="140"/>
      <c r="BB385" s="140"/>
      <c r="BC385" s="140"/>
      <c r="BD385" s="140"/>
      <c r="BE385" s="140"/>
    </row>
    <row r="386" s="119" customFormat="1" ht="48" customHeight="1" outlineLevel="2" spans="1:57">
      <c r="A386" s="162">
        <f>1+N(A385)</f>
        <v>2</v>
      </c>
      <c r="B386" s="14" t="s">
        <v>104</v>
      </c>
      <c r="C386" s="167" t="s">
        <v>105</v>
      </c>
      <c r="D386" s="142" t="s">
        <v>70</v>
      </c>
      <c r="E386" s="143">
        <v>9.1</v>
      </c>
      <c r="F386" s="143">
        <f>$F$29</f>
        <v>50</v>
      </c>
      <c r="G386" s="143">
        <f>$G$29</f>
        <v>0</v>
      </c>
      <c r="H386" s="143">
        <f>$H$29</f>
        <v>22.0941</v>
      </c>
      <c r="I386" s="17">
        <f>(F386+G386+H386)*$I$3</f>
        <v>7.20941</v>
      </c>
      <c r="J386" s="18">
        <f>ROUND(SUM(F386:I386),2)</f>
        <v>79.3</v>
      </c>
      <c r="K386" s="19">
        <f>ROUND(J386*E386,2)</f>
        <v>721.63</v>
      </c>
      <c r="L386" s="178"/>
      <c r="M386" s="139">
        <v>1</v>
      </c>
      <c r="N386" s="139"/>
      <c r="O386" s="139"/>
      <c r="P386" s="37">
        <f>Q386+Q386*R386+S386+T386+U386</f>
        <v>72.0941</v>
      </c>
      <c r="Q386" s="99">
        <f>$Q$29</f>
        <v>0</v>
      </c>
      <c r="R386" s="163">
        <f>$R$29</f>
        <v>0.01</v>
      </c>
      <c r="S386" s="99">
        <f>$S$29</f>
        <v>50</v>
      </c>
      <c r="T386" s="99">
        <f>$T$29</f>
        <v>22.0941</v>
      </c>
      <c r="U386" s="99">
        <f>$U$29</f>
        <v>0</v>
      </c>
      <c r="V386" s="37">
        <f>P386*E386</f>
        <v>656.05631</v>
      </c>
      <c r="W386" s="139"/>
      <c r="X386" s="139"/>
      <c r="Y386" s="139"/>
      <c r="Z386" s="139"/>
      <c r="AA386" s="139"/>
      <c r="AB386" s="139"/>
      <c r="AC386" s="139"/>
      <c r="AD386" s="139"/>
      <c r="AE386" s="139"/>
      <c r="AF386" s="140"/>
      <c r="AG386" s="140"/>
      <c r="AH386" s="140"/>
      <c r="AI386" s="140"/>
      <c r="AJ386" s="140"/>
      <c r="AK386" s="140"/>
      <c r="AL386" s="140"/>
      <c r="AM386" s="140"/>
      <c r="AN386" s="140"/>
      <c r="AO386" s="140"/>
      <c r="AP386" s="140"/>
      <c r="AQ386" s="140"/>
      <c r="AR386" s="140"/>
      <c r="AS386" s="140"/>
      <c r="AT386" s="140"/>
      <c r="AU386" s="140"/>
      <c r="AV386" s="140"/>
      <c r="AW386" s="140"/>
      <c r="AX386" s="140"/>
      <c r="AY386" s="140"/>
      <c r="AZ386" s="140"/>
      <c r="BA386" s="140"/>
      <c r="BB386" s="140"/>
      <c r="BC386" s="140"/>
      <c r="BD386" s="140"/>
      <c r="BE386" s="140"/>
    </row>
    <row r="387" s="119" customFormat="1" ht="48" customHeight="1" outlineLevel="2" spans="1:57">
      <c r="A387" s="162">
        <f>1+N(A386)</f>
        <v>3</v>
      </c>
      <c r="B387" s="14" t="s">
        <v>106</v>
      </c>
      <c r="C387" s="167" t="s">
        <v>107</v>
      </c>
      <c r="D387" s="142" t="s">
        <v>70</v>
      </c>
      <c r="E387" s="143">
        <v>9.1</v>
      </c>
      <c r="F387" s="143">
        <f>$F$30</f>
        <v>18</v>
      </c>
      <c r="G387" s="143">
        <f>$G$30</f>
        <v>163.255</v>
      </c>
      <c r="H387" s="143">
        <f>$H$30</f>
        <v>3.8</v>
      </c>
      <c r="I387" s="17">
        <f>(F387+G387+H387)*$I$3</f>
        <v>18.5055</v>
      </c>
      <c r="J387" s="18">
        <f>ROUND(SUM(F387:I387),2)</f>
        <v>203.56</v>
      </c>
      <c r="K387" s="19">
        <f>ROUND(J387*E387,2)</f>
        <v>1852.4</v>
      </c>
      <c r="L387" s="178"/>
      <c r="M387" s="139">
        <v>1</v>
      </c>
      <c r="N387" s="139"/>
      <c r="O387" s="139"/>
      <c r="P387" s="37">
        <f>Q387+Q387*R387+S387+T387+U387</f>
        <v>185.055</v>
      </c>
      <c r="Q387" s="99">
        <f>$Q$30</f>
        <v>158.5</v>
      </c>
      <c r="R387" s="163">
        <f>$R$30</f>
        <v>0.03</v>
      </c>
      <c r="S387" s="99">
        <f>$S$30</f>
        <v>18</v>
      </c>
      <c r="T387" s="99">
        <f>$T$30</f>
        <v>3.5</v>
      </c>
      <c r="U387" s="99">
        <f>$U$30</f>
        <v>0.3</v>
      </c>
      <c r="V387" s="37">
        <f>P387*E387</f>
        <v>1684.0005</v>
      </c>
      <c r="W387" s="139"/>
      <c r="X387" s="139"/>
      <c r="Y387" s="139"/>
      <c r="Z387" s="139"/>
      <c r="AA387" s="139"/>
      <c r="AB387" s="139"/>
      <c r="AC387" s="139"/>
      <c r="AD387" s="139"/>
      <c r="AE387" s="139"/>
      <c r="AF387" s="140"/>
      <c r="AG387" s="140"/>
      <c r="AH387" s="140"/>
      <c r="AI387" s="140"/>
      <c r="AJ387" s="140"/>
      <c r="AK387" s="140"/>
      <c r="AL387" s="140"/>
      <c r="AM387" s="140"/>
      <c r="AN387" s="140"/>
      <c r="AO387" s="140"/>
      <c r="AP387" s="140"/>
      <c r="AQ387" s="140"/>
      <c r="AR387" s="140"/>
      <c r="AS387" s="140"/>
      <c r="AT387" s="140"/>
      <c r="AU387" s="140"/>
      <c r="AV387" s="140"/>
      <c r="AW387" s="140"/>
      <c r="AX387" s="140"/>
      <c r="AY387" s="140"/>
      <c r="AZ387" s="140"/>
      <c r="BA387" s="140"/>
      <c r="BB387" s="140"/>
      <c r="BC387" s="140"/>
      <c r="BD387" s="140"/>
      <c r="BE387" s="140"/>
    </row>
    <row r="388" s="119" customFormat="1" ht="72" customHeight="1" outlineLevel="2" spans="1:57">
      <c r="A388" s="162">
        <f>1+N(A387)</f>
        <v>4</v>
      </c>
      <c r="B388" s="14" t="s">
        <v>110</v>
      </c>
      <c r="C388" s="167" t="s">
        <v>111</v>
      </c>
      <c r="D388" s="142" t="s">
        <v>63</v>
      </c>
      <c r="E388" s="143">
        <f>15.94+9.1*0.3</f>
        <v>18.67</v>
      </c>
      <c r="F388" s="143">
        <f>$F$32</f>
        <v>45</v>
      </c>
      <c r="G388" s="143">
        <f>$G$32</f>
        <v>85.5</v>
      </c>
      <c r="H388" s="143">
        <f>$H$32</f>
        <v>7.3</v>
      </c>
      <c r="I388" s="17">
        <f>(F388+G388+H388)*$I$3</f>
        <v>13.78</v>
      </c>
      <c r="J388" s="18">
        <f>ROUND(SUM(F388:I388),2)</f>
        <v>151.58</v>
      </c>
      <c r="K388" s="19">
        <f>ROUND(J388*E388,2)</f>
        <v>2830</v>
      </c>
      <c r="L388" s="178"/>
      <c r="M388" s="139">
        <v>1</v>
      </c>
      <c r="N388" s="139"/>
      <c r="O388" s="139"/>
      <c r="P388" s="37">
        <f>Q388+Q388*R388+S388+T388+U388</f>
        <v>137.8</v>
      </c>
      <c r="Q388" s="99">
        <f>$Q$32</f>
        <v>85.5</v>
      </c>
      <c r="R388" s="163">
        <f>$R$32</f>
        <v>0</v>
      </c>
      <c r="S388" s="99">
        <f>$S$32</f>
        <v>45</v>
      </c>
      <c r="T388" s="99">
        <f>$T$32</f>
        <v>6.5</v>
      </c>
      <c r="U388" s="99">
        <f>$U$32</f>
        <v>0.8</v>
      </c>
      <c r="V388" s="37">
        <f>P388*E388</f>
        <v>2572.726</v>
      </c>
      <c r="W388" s="139"/>
      <c r="X388" s="139"/>
      <c r="Y388" s="139"/>
      <c r="Z388" s="139"/>
      <c r="AA388" s="139"/>
      <c r="AB388" s="139"/>
      <c r="AC388" s="139"/>
      <c r="AD388" s="139"/>
      <c r="AE388" s="139"/>
      <c r="AF388" s="140"/>
      <c r="AG388" s="140"/>
      <c r="AH388" s="140"/>
      <c r="AI388" s="140"/>
      <c r="AJ388" s="140"/>
      <c r="AK388" s="140"/>
      <c r="AL388" s="140"/>
      <c r="AM388" s="140"/>
      <c r="AN388" s="140"/>
      <c r="AO388" s="140"/>
      <c r="AP388" s="140"/>
      <c r="AQ388" s="140"/>
      <c r="AR388" s="140"/>
      <c r="AS388" s="140"/>
      <c r="AT388" s="140"/>
      <c r="AU388" s="140"/>
      <c r="AV388" s="140"/>
      <c r="AW388" s="140"/>
      <c r="AX388" s="140"/>
      <c r="AY388" s="140"/>
      <c r="AZ388" s="140"/>
      <c r="BA388" s="140"/>
      <c r="BB388" s="140"/>
      <c r="BC388" s="140"/>
      <c r="BD388" s="140"/>
      <c r="BE388" s="140"/>
    </row>
    <row r="389" s="119" customFormat="1" ht="24" customHeight="1" outlineLevel="1" spans="1:57">
      <c r="A389" s="141"/>
      <c r="B389" s="14" t="s">
        <v>112</v>
      </c>
      <c r="C389" s="15"/>
      <c r="D389" s="142"/>
      <c r="E389" s="143"/>
      <c r="F389" s="143"/>
      <c r="G389" s="143"/>
      <c r="H389" s="143"/>
      <c r="I389" s="143"/>
      <c r="J389" s="143"/>
      <c r="K389" s="144"/>
      <c r="L389" s="178"/>
      <c r="M389" s="139"/>
      <c r="N389" s="139"/>
      <c r="O389" s="139"/>
      <c r="P389" s="137"/>
      <c r="Q389" s="137"/>
      <c r="R389" s="138"/>
      <c r="S389" s="137"/>
      <c r="T389" s="137"/>
      <c r="U389" s="137"/>
      <c r="V389" s="137"/>
      <c r="W389" s="139"/>
      <c r="X389" s="139"/>
      <c r="Y389" s="139"/>
      <c r="Z389" s="139"/>
      <c r="AA389" s="139"/>
      <c r="AB389" s="139"/>
      <c r="AC389" s="139"/>
      <c r="AD389" s="139"/>
      <c r="AE389" s="139"/>
      <c r="AF389" s="140"/>
      <c r="AG389" s="140"/>
      <c r="AH389" s="140"/>
      <c r="AI389" s="140"/>
      <c r="AJ389" s="140"/>
      <c r="AK389" s="140"/>
      <c r="AL389" s="140"/>
      <c r="AM389" s="140"/>
      <c r="AN389" s="140"/>
      <c r="AO389" s="140"/>
      <c r="AP389" s="140"/>
      <c r="AQ389" s="140"/>
      <c r="AR389" s="140"/>
      <c r="AS389" s="140"/>
      <c r="AT389" s="140"/>
      <c r="AU389" s="140"/>
      <c r="AV389" s="140"/>
      <c r="AW389" s="140"/>
      <c r="AX389" s="140"/>
      <c r="AY389" s="140"/>
      <c r="AZ389" s="140"/>
      <c r="BA389" s="140"/>
      <c r="BB389" s="140"/>
      <c r="BC389" s="140"/>
      <c r="BD389" s="140"/>
      <c r="BE389" s="140"/>
    </row>
    <row r="390" s="119" customFormat="1" ht="36" customHeight="1" outlineLevel="2" spans="1:57">
      <c r="A390" s="162">
        <f>1+N(A389)</f>
        <v>1</v>
      </c>
      <c r="B390" s="14" t="s">
        <v>126</v>
      </c>
      <c r="C390" s="15" t="s">
        <v>114</v>
      </c>
      <c r="D390" s="142" t="s">
        <v>63</v>
      </c>
      <c r="E390" s="143">
        <f>0.7*2.4</f>
        <v>1.68</v>
      </c>
      <c r="F390" s="143">
        <f>$F$60</f>
        <v>165</v>
      </c>
      <c r="G390" s="143">
        <f>$G$60</f>
        <v>85</v>
      </c>
      <c r="H390" s="143">
        <f>$H$60</f>
        <v>355.1744</v>
      </c>
      <c r="I390" s="17">
        <f>(F390+G390+H390)*$I$3</f>
        <v>60.51744</v>
      </c>
      <c r="J390" s="18">
        <f>ROUND(SUM(F390:I390),2)</f>
        <v>665.69</v>
      </c>
      <c r="K390" s="19">
        <f>ROUND(J390*E390,2)</f>
        <v>1118.36</v>
      </c>
      <c r="L390" s="178"/>
      <c r="M390" s="139">
        <v>1</v>
      </c>
      <c r="N390" s="139"/>
      <c r="O390" s="139"/>
      <c r="P390" s="37">
        <f>Q390+Q390*R390+S390+T390+U390</f>
        <v>605.1744</v>
      </c>
      <c r="Q390" s="99">
        <f>$Q$60</f>
        <v>85</v>
      </c>
      <c r="R390" s="163">
        <f>$R$60</f>
        <v>0</v>
      </c>
      <c r="S390" s="99">
        <f>$S$60</f>
        <v>165</v>
      </c>
      <c r="T390" s="99">
        <f>$T$60</f>
        <v>353.6744</v>
      </c>
      <c r="U390" s="99">
        <f>$U$60</f>
        <v>1.5</v>
      </c>
      <c r="V390" s="37">
        <f>P390*E390</f>
        <v>1016.692992</v>
      </c>
      <c r="W390" s="139"/>
      <c r="X390" s="139"/>
      <c r="Y390" s="139"/>
      <c r="Z390" s="139"/>
      <c r="AA390" s="139"/>
      <c r="AB390" s="139"/>
      <c r="AC390" s="139"/>
      <c r="AD390" s="139"/>
      <c r="AE390" s="139"/>
      <c r="AF390" s="140"/>
      <c r="AG390" s="140"/>
      <c r="AH390" s="140"/>
      <c r="AI390" s="140"/>
      <c r="AJ390" s="140"/>
      <c r="AK390" s="140"/>
      <c r="AL390" s="140"/>
      <c r="AM390" s="140"/>
      <c r="AN390" s="140"/>
      <c r="AO390" s="140"/>
      <c r="AP390" s="140"/>
      <c r="AQ390" s="140"/>
      <c r="AR390" s="140"/>
      <c r="AS390" s="140"/>
      <c r="AT390" s="140"/>
      <c r="AU390" s="140"/>
      <c r="AV390" s="140"/>
      <c r="AW390" s="140"/>
      <c r="AX390" s="140"/>
      <c r="AY390" s="140"/>
      <c r="AZ390" s="140"/>
      <c r="BA390" s="140"/>
      <c r="BB390" s="140"/>
      <c r="BC390" s="140"/>
      <c r="BD390" s="140"/>
      <c r="BE390" s="140"/>
    </row>
    <row r="391" s="119" customFormat="1" ht="24" customHeight="1" outlineLevel="1" spans="1:57">
      <c r="A391" s="132" t="s">
        <v>127</v>
      </c>
      <c r="B391" s="8" t="s">
        <v>242</v>
      </c>
      <c r="C391" s="8"/>
      <c r="D391" s="133"/>
      <c r="E391" s="134"/>
      <c r="F391" s="134"/>
      <c r="G391" s="134"/>
      <c r="H391" s="134"/>
      <c r="I391" s="134"/>
      <c r="J391" s="134"/>
      <c r="K391" s="11"/>
      <c r="L391" s="178"/>
      <c r="M391" s="139"/>
      <c r="N391" s="139"/>
      <c r="O391" s="170" t="str">
        <f>_xlfn.DISPIMG("ID_DBFEAA07FA77407EA27001577B1036D1",1)</f>
        <v>=DISPIMG("ID_DBFEAA07FA77407EA27001577B1036D1",1)</v>
      </c>
      <c r="P391" s="137"/>
      <c r="Q391" s="137"/>
      <c r="R391" s="138"/>
      <c r="S391" s="137"/>
      <c r="T391" s="137"/>
      <c r="U391" s="137"/>
      <c r="V391" s="137"/>
      <c r="W391" s="139"/>
      <c r="X391" s="139"/>
      <c r="Y391" s="139"/>
      <c r="Z391" s="139"/>
      <c r="AA391" s="139"/>
      <c r="AB391" s="139"/>
      <c r="AC391" s="139"/>
      <c r="AD391" s="139"/>
      <c r="AE391" s="139"/>
      <c r="AF391" s="140"/>
      <c r="AG391" s="140"/>
      <c r="AH391" s="140"/>
      <c r="AI391" s="140"/>
      <c r="AJ391" s="140"/>
      <c r="AK391" s="140"/>
      <c r="AL391" s="140"/>
      <c r="AM391" s="140"/>
      <c r="AN391" s="140"/>
      <c r="AO391" s="140"/>
      <c r="AP391" s="140"/>
      <c r="AQ391" s="140"/>
      <c r="AR391" s="140"/>
      <c r="AS391" s="140"/>
      <c r="AT391" s="140"/>
      <c r="AU391" s="140"/>
      <c r="AV391" s="140"/>
      <c r="AW391" s="140"/>
      <c r="AX391" s="140"/>
      <c r="AY391" s="140"/>
      <c r="AZ391" s="140"/>
      <c r="BA391" s="140"/>
      <c r="BB391" s="140"/>
      <c r="BC391" s="140"/>
      <c r="BD391" s="140"/>
      <c r="BE391" s="140"/>
    </row>
    <row r="392" s="119" customFormat="1" ht="24" customHeight="1" outlineLevel="1" spans="1:57">
      <c r="A392" s="141"/>
      <c r="B392" s="14" t="s">
        <v>60</v>
      </c>
      <c r="C392" s="15"/>
      <c r="D392" s="142"/>
      <c r="E392" s="143"/>
      <c r="F392" s="143"/>
      <c r="G392" s="143"/>
      <c r="H392" s="143"/>
      <c r="I392" s="143"/>
      <c r="J392" s="143"/>
      <c r="K392" s="144"/>
      <c r="L392" s="178"/>
      <c r="M392" s="139"/>
      <c r="N392" s="139"/>
      <c r="O392" s="139"/>
      <c r="P392" s="137"/>
      <c r="Q392" s="137"/>
      <c r="R392" s="138"/>
      <c r="S392" s="137"/>
      <c r="T392" s="137"/>
      <c r="U392" s="137"/>
      <c r="V392" s="137"/>
      <c r="W392" s="139"/>
      <c r="X392" s="139"/>
      <c r="Y392" s="139"/>
      <c r="Z392" s="139"/>
      <c r="AA392" s="139"/>
      <c r="AB392" s="139"/>
      <c r="AC392" s="139"/>
      <c r="AD392" s="139"/>
      <c r="AE392" s="139"/>
      <c r="AF392" s="140"/>
      <c r="AG392" s="140"/>
      <c r="AH392" s="140"/>
      <c r="AI392" s="140"/>
      <c r="AJ392" s="140"/>
      <c r="AK392" s="140"/>
      <c r="AL392" s="140"/>
      <c r="AM392" s="140"/>
      <c r="AN392" s="140"/>
      <c r="AO392" s="140"/>
      <c r="AP392" s="140"/>
      <c r="AQ392" s="140"/>
      <c r="AR392" s="140"/>
      <c r="AS392" s="140"/>
      <c r="AT392" s="140"/>
      <c r="AU392" s="140"/>
      <c r="AV392" s="140"/>
      <c r="AW392" s="140"/>
      <c r="AX392" s="140"/>
      <c r="AY392" s="140"/>
      <c r="AZ392" s="140"/>
      <c r="BA392" s="140"/>
      <c r="BB392" s="140"/>
      <c r="BC392" s="140"/>
      <c r="BD392" s="140"/>
      <c r="BE392" s="140"/>
    </row>
    <row r="393" s="119" customFormat="1" ht="96" customHeight="1" outlineLevel="2" spans="1:57">
      <c r="A393" s="162">
        <f>1+N(A392)</f>
        <v>1</v>
      </c>
      <c r="B393" s="14" t="s">
        <v>220</v>
      </c>
      <c r="C393" s="15" t="s">
        <v>221</v>
      </c>
      <c r="D393" s="142" t="s">
        <v>63</v>
      </c>
      <c r="E393" s="143">
        <v>1.32</v>
      </c>
      <c r="F393" s="143">
        <f>$F$339</f>
        <v>130</v>
      </c>
      <c r="G393" s="143">
        <f>$G$339</f>
        <v>628.3</v>
      </c>
      <c r="H393" s="17">
        <f>$H$339</f>
        <v>47.7</v>
      </c>
      <c r="I393" s="17">
        <f>(F393+G393+H393)*$I$3</f>
        <v>80.6</v>
      </c>
      <c r="J393" s="18">
        <f>ROUND(SUM(F393:I393),2)</f>
        <v>886.6</v>
      </c>
      <c r="K393" s="19">
        <f>ROUND(J393*E393,2)</f>
        <v>1170.31</v>
      </c>
      <c r="L393" s="178"/>
      <c r="M393" s="139">
        <v>1</v>
      </c>
      <c r="N393" s="139"/>
      <c r="O393" s="139"/>
      <c r="P393" s="37">
        <f>Q393+Q393*R393+S393+T393+U393</f>
        <v>806</v>
      </c>
      <c r="Q393" s="99">
        <f>$Q$339</f>
        <v>610</v>
      </c>
      <c r="R393" s="163">
        <f>$R$339</f>
        <v>0.03</v>
      </c>
      <c r="S393" s="99">
        <f>$S$339</f>
        <v>130</v>
      </c>
      <c r="T393" s="99">
        <f>$T$339</f>
        <v>46.2</v>
      </c>
      <c r="U393" s="99">
        <f>$U$339</f>
        <v>1.5</v>
      </c>
      <c r="V393" s="37">
        <f>P393*E393</f>
        <v>1063.92</v>
      </c>
      <c r="W393" s="139"/>
      <c r="X393" s="139"/>
      <c r="Y393" s="139"/>
      <c r="Z393" s="139"/>
      <c r="AA393" s="139"/>
      <c r="AB393" s="139"/>
      <c r="AC393" s="139"/>
      <c r="AD393" s="139"/>
      <c r="AE393" s="139"/>
      <c r="AF393" s="140"/>
      <c r="AG393" s="140"/>
      <c r="AH393" s="140"/>
      <c r="AI393" s="140"/>
      <c r="AJ393" s="140"/>
      <c r="AK393" s="140"/>
      <c r="AL393" s="140"/>
      <c r="AM393" s="140"/>
      <c r="AN393" s="140"/>
      <c r="AO393" s="140"/>
      <c r="AP393" s="140"/>
      <c r="AQ393" s="140"/>
      <c r="AR393" s="140"/>
      <c r="AS393" s="140"/>
      <c r="AT393" s="140"/>
      <c r="AU393" s="140"/>
      <c r="AV393" s="140"/>
      <c r="AW393" s="140"/>
      <c r="AX393" s="140"/>
      <c r="AY393" s="140"/>
      <c r="AZ393" s="140"/>
      <c r="BA393" s="140"/>
      <c r="BB393" s="140"/>
      <c r="BC393" s="140"/>
      <c r="BD393" s="140"/>
      <c r="BE393" s="140"/>
    </row>
    <row r="394" s="119" customFormat="1" ht="96" customHeight="1" outlineLevel="2" spans="1:57">
      <c r="A394" s="162">
        <f>1+N(A393)</f>
        <v>2</v>
      </c>
      <c r="B394" s="14" t="s">
        <v>166</v>
      </c>
      <c r="C394" s="15" t="s">
        <v>167</v>
      </c>
      <c r="D394" s="142" t="s">
        <v>63</v>
      </c>
      <c r="E394" s="143">
        <v>5.88</v>
      </c>
      <c r="F394" s="143">
        <f>$F$171</f>
        <v>80</v>
      </c>
      <c r="G394" s="143">
        <f>$G$171</f>
        <v>46.35</v>
      </c>
      <c r="H394" s="17">
        <f>$H$171</f>
        <v>50.6</v>
      </c>
      <c r="I394" s="17">
        <f>(F394+G394+H394)*$I$3</f>
        <v>17.695</v>
      </c>
      <c r="J394" s="18">
        <f>ROUND(SUM(F394:I394),2)</f>
        <v>194.65</v>
      </c>
      <c r="K394" s="19">
        <f>ROUND(J394*E394,2)</f>
        <v>1144.54</v>
      </c>
      <c r="L394" s="178"/>
      <c r="M394" s="139">
        <v>1</v>
      </c>
      <c r="N394" s="139"/>
      <c r="O394" s="139"/>
      <c r="P394" s="37">
        <f>Q394+Q394*R394+S394+T394+U394</f>
        <v>176.95</v>
      </c>
      <c r="Q394" s="99">
        <f>$Q$171</f>
        <v>45</v>
      </c>
      <c r="R394" s="163">
        <f>$R$171</f>
        <v>0.03</v>
      </c>
      <c r="S394" s="99">
        <f>$S$171</f>
        <v>80</v>
      </c>
      <c r="T394" s="99">
        <f>$T$171</f>
        <v>50.1</v>
      </c>
      <c r="U394" s="99">
        <f>$U$171</f>
        <v>0.5</v>
      </c>
      <c r="V394" s="37">
        <f>P394*E394</f>
        <v>1040.466</v>
      </c>
      <c r="W394" s="139"/>
      <c r="X394" s="139"/>
      <c r="Y394" s="139"/>
      <c r="Z394" s="139"/>
      <c r="AA394" s="139"/>
      <c r="AB394" s="139"/>
      <c r="AC394" s="139"/>
      <c r="AD394" s="139"/>
      <c r="AE394" s="139"/>
      <c r="AF394" s="140"/>
      <c r="AG394" s="140"/>
      <c r="AH394" s="140"/>
      <c r="AI394" s="140"/>
      <c r="AJ394" s="140"/>
      <c r="AK394" s="140"/>
      <c r="AL394" s="140"/>
      <c r="AM394" s="140"/>
      <c r="AN394" s="140"/>
      <c r="AO394" s="140"/>
      <c r="AP394" s="140"/>
      <c r="AQ394" s="140"/>
      <c r="AR394" s="140"/>
      <c r="AS394" s="140"/>
      <c r="AT394" s="140"/>
      <c r="AU394" s="140"/>
      <c r="AV394" s="140"/>
      <c r="AW394" s="140"/>
      <c r="AX394" s="140"/>
      <c r="AY394" s="140"/>
      <c r="AZ394" s="140"/>
      <c r="BA394" s="140"/>
      <c r="BB394" s="140"/>
      <c r="BC394" s="140"/>
      <c r="BD394" s="140"/>
      <c r="BE394" s="140"/>
    </row>
    <row r="395" s="119" customFormat="1" ht="96" customHeight="1" outlineLevel="2" spans="1:57">
      <c r="A395" s="162">
        <f>1+N(A394)</f>
        <v>3</v>
      </c>
      <c r="B395" s="14" t="s">
        <v>222</v>
      </c>
      <c r="C395" s="15" t="s">
        <v>223</v>
      </c>
      <c r="D395" s="142" t="s">
        <v>63</v>
      </c>
      <c r="E395" s="143">
        <v>4.66</v>
      </c>
      <c r="F395" s="143">
        <f>$F$341</f>
        <v>80</v>
      </c>
      <c r="G395" s="143">
        <f>$G$341</f>
        <v>226.6</v>
      </c>
      <c r="H395" s="17">
        <f>$H$341</f>
        <v>50.6</v>
      </c>
      <c r="I395" s="17">
        <f>(F395+G395+H395)*$I$3</f>
        <v>35.72</v>
      </c>
      <c r="J395" s="18">
        <f>ROUND(SUM(F395:I395),2)</f>
        <v>392.92</v>
      </c>
      <c r="K395" s="19">
        <f>ROUND(J395*E395,2)</f>
        <v>1831.01</v>
      </c>
      <c r="L395" s="178"/>
      <c r="M395" s="139">
        <v>1</v>
      </c>
      <c r="N395" s="139"/>
      <c r="O395" s="139"/>
      <c r="P395" s="37">
        <f>Q395+Q395*R395+S395+T395+U395</f>
        <v>357.2</v>
      </c>
      <c r="Q395" s="99">
        <f>$Q$341</f>
        <v>220</v>
      </c>
      <c r="R395" s="163">
        <f>$R$341</f>
        <v>0.03</v>
      </c>
      <c r="S395" s="99">
        <f>$S$341</f>
        <v>80</v>
      </c>
      <c r="T395" s="99">
        <f>$T$341</f>
        <v>50.1</v>
      </c>
      <c r="U395" s="99">
        <f>$U$341</f>
        <v>0.5</v>
      </c>
      <c r="V395" s="37">
        <f>P395*E395</f>
        <v>1664.552</v>
      </c>
      <c r="W395" s="139"/>
      <c r="X395" s="139"/>
      <c r="Y395" s="139"/>
      <c r="Z395" s="139"/>
      <c r="AA395" s="139"/>
      <c r="AB395" s="139"/>
      <c r="AC395" s="139"/>
      <c r="AD395" s="139"/>
      <c r="AE395" s="139"/>
      <c r="AF395" s="140"/>
      <c r="AG395" s="140"/>
      <c r="AH395" s="140"/>
      <c r="AI395" s="140"/>
      <c r="AJ395" s="140"/>
      <c r="AK395" s="140"/>
      <c r="AL395" s="140"/>
      <c r="AM395" s="140"/>
      <c r="AN395" s="140"/>
      <c r="AO395" s="140"/>
      <c r="AP395" s="140"/>
      <c r="AQ395" s="140"/>
      <c r="AR395" s="140"/>
      <c r="AS395" s="140"/>
      <c r="AT395" s="140"/>
      <c r="AU395" s="140"/>
      <c r="AV395" s="140"/>
      <c r="AW395" s="140"/>
      <c r="AX395" s="140"/>
      <c r="AY395" s="140"/>
      <c r="AZ395" s="140"/>
      <c r="BA395" s="140"/>
      <c r="BB395" s="140"/>
      <c r="BC395" s="140"/>
      <c r="BD395" s="140"/>
      <c r="BE395" s="140"/>
    </row>
    <row r="396" s="119" customFormat="1" ht="36" customHeight="1" outlineLevel="2" spans="1:57">
      <c r="A396" s="162">
        <f>1+N(A395)</f>
        <v>4</v>
      </c>
      <c r="B396" s="14" t="s">
        <v>68</v>
      </c>
      <c r="C396" s="15" t="s">
        <v>69</v>
      </c>
      <c r="D396" s="142" t="s">
        <v>70</v>
      </c>
      <c r="E396" s="143">
        <v>8.45</v>
      </c>
      <c r="F396" s="143">
        <f>$F$10</f>
        <v>12</v>
      </c>
      <c r="G396" s="143">
        <f>$G$10</f>
        <v>19.57</v>
      </c>
      <c r="H396" s="143">
        <f>$H$10</f>
        <v>0.5</v>
      </c>
      <c r="I396" s="17">
        <f>(F396+G396+H396)*$I$3</f>
        <v>3.207</v>
      </c>
      <c r="J396" s="18">
        <f>ROUND(SUM(F396:I396),2)</f>
        <v>35.28</v>
      </c>
      <c r="K396" s="19">
        <f>ROUND(J396*E396,2)</f>
        <v>298.12</v>
      </c>
      <c r="L396" s="178"/>
      <c r="M396" s="139">
        <v>1</v>
      </c>
      <c r="N396" s="139"/>
      <c r="O396" s="139"/>
      <c r="P396" s="37">
        <f>Q396+Q396*R396+S396+T396+U396</f>
        <v>32.07</v>
      </c>
      <c r="Q396" s="99">
        <f>$Q$10</f>
        <v>19</v>
      </c>
      <c r="R396" s="163">
        <f>$R$10</f>
        <v>0.03</v>
      </c>
      <c r="S396" s="99">
        <f>$S$10</f>
        <v>12</v>
      </c>
      <c r="T396" s="99">
        <f>$T$10</f>
        <v>0.3</v>
      </c>
      <c r="U396" s="99">
        <f>$U$10</f>
        <v>0.2</v>
      </c>
      <c r="V396" s="37">
        <f>P396*E396</f>
        <v>270.9915</v>
      </c>
      <c r="W396" s="139"/>
      <c r="X396" s="139"/>
      <c r="Y396" s="139"/>
      <c r="Z396" s="139"/>
      <c r="AA396" s="139"/>
      <c r="AB396" s="139"/>
      <c r="AC396" s="139"/>
      <c r="AD396" s="139"/>
      <c r="AE396" s="139"/>
      <c r="AF396" s="140"/>
      <c r="AG396" s="140"/>
      <c r="AH396" s="140"/>
      <c r="AI396" s="140"/>
      <c r="AJ396" s="140"/>
      <c r="AK396" s="140"/>
      <c r="AL396" s="140"/>
      <c r="AM396" s="140"/>
      <c r="AN396" s="140"/>
      <c r="AO396" s="140"/>
      <c r="AP396" s="140"/>
      <c r="AQ396" s="140"/>
      <c r="AR396" s="140"/>
      <c r="AS396" s="140"/>
      <c r="AT396" s="140"/>
      <c r="AU396" s="140"/>
      <c r="AV396" s="140"/>
      <c r="AW396" s="140"/>
      <c r="AX396" s="140"/>
      <c r="AY396" s="140"/>
      <c r="AZ396" s="140"/>
      <c r="BA396" s="140"/>
      <c r="BB396" s="140"/>
      <c r="BC396" s="140"/>
      <c r="BD396" s="140"/>
      <c r="BE396" s="140"/>
    </row>
    <row r="397" s="119" customFormat="1" ht="48" customHeight="1" outlineLevel="2" spans="1:57">
      <c r="A397" s="162">
        <f>1+N(A396)</f>
        <v>5</v>
      </c>
      <c r="B397" s="14" t="s">
        <v>71</v>
      </c>
      <c r="C397" s="15" t="s">
        <v>72</v>
      </c>
      <c r="D397" s="142" t="s">
        <v>63</v>
      </c>
      <c r="E397" s="143">
        <v>1.32</v>
      </c>
      <c r="F397" s="143">
        <f>$F$11</f>
        <v>40</v>
      </c>
      <c r="G397" s="143">
        <f>$G$11</f>
        <v>15</v>
      </c>
      <c r="H397" s="143">
        <f>$H$11</f>
        <v>0.8</v>
      </c>
      <c r="I397" s="17">
        <f>(F397+G397+H397)*$I$3</f>
        <v>5.58</v>
      </c>
      <c r="J397" s="18">
        <f>ROUND(SUM(F397:I397),2)</f>
        <v>61.38</v>
      </c>
      <c r="K397" s="19">
        <f>ROUND(J397*E397,2)</f>
        <v>81.02</v>
      </c>
      <c r="L397" s="178"/>
      <c r="M397" s="139">
        <v>1</v>
      </c>
      <c r="N397" s="139"/>
      <c r="O397" s="139"/>
      <c r="P397" s="37">
        <f>Q397+Q397*R397+S397+T397+U397</f>
        <v>55.8</v>
      </c>
      <c r="Q397" s="99">
        <f>$Q$11</f>
        <v>15</v>
      </c>
      <c r="R397" s="163">
        <f>$R$11</f>
        <v>0</v>
      </c>
      <c r="S397" s="99">
        <f>$S$11</f>
        <v>40</v>
      </c>
      <c r="T397" s="99">
        <f>$T$11</f>
        <v>0.5</v>
      </c>
      <c r="U397" s="99">
        <f>$U$11</f>
        <v>0.3</v>
      </c>
      <c r="V397" s="37">
        <f>P397*E397</f>
        <v>73.656</v>
      </c>
      <c r="W397" s="139"/>
      <c r="X397" s="139"/>
      <c r="Y397" s="139"/>
      <c r="Z397" s="139"/>
      <c r="AA397" s="139"/>
      <c r="AB397" s="139"/>
      <c r="AC397" s="139"/>
      <c r="AD397" s="139"/>
      <c r="AE397" s="139"/>
      <c r="AF397" s="140"/>
      <c r="AG397" s="140"/>
      <c r="AH397" s="140"/>
      <c r="AI397" s="140"/>
      <c r="AJ397" s="140"/>
      <c r="AK397" s="140"/>
      <c r="AL397" s="140"/>
      <c r="AM397" s="140"/>
      <c r="AN397" s="140"/>
      <c r="AO397" s="140"/>
      <c r="AP397" s="140"/>
      <c r="AQ397" s="140"/>
      <c r="AR397" s="140"/>
      <c r="AS397" s="140"/>
      <c r="AT397" s="140"/>
      <c r="AU397" s="140"/>
      <c r="AV397" s="140"/>
      <c r="AW397" s="140"/>
      <c r="AX397" s="140"/>
      <c r="AY397" s="140"/>
      <c r="AZ397" s="140"/>
      <c r="BA397" s="140"/>
      <c r="BB397" s="140"/>
      <c r="BC397" s="140"/>
      <c r="BD397" s="140"/>
      <c r="BE397" s="140"/>
    </row>
    <row r="398" s="119" customFormat="1" ht="24" customHeight="1" outlineLevel="1" spans="1:57">
      <c r="A398" s="141"/>
      <c r="B398" s="14" t="s">
        <v>73</v>
      </c>
      <c r="C398" s="15"/>
      <c r="D398" s="142"/>
      <c r="E398" s="143"/>
      <c r="F398" s="143"/>
      <c r="G398" s="143"/>
      <c r="H398" s="143"/>
      <c r="I398" s="143"/>
      <c r="J398" s="143"/>
      <c r="K398" s="144"/>
      <c r="L398" s="178"/>
      <c r="M398" s="139"/>
      <c r="N398" s="139"/>
      <c r="O398" s="139"/>
      <c r="P398" s="137"/>
      <c r="Q398" s="137"/>
      <c r="R398" s="138"/>
      <c r="S398" s="137"/>
      <c r="T398" s="137"/>
      <c r="U398" s="137"/>
      <c r="V398" s="137"/>
      <c r="W398" s="139"/>
      <c r="X398" s="139"/>
      <c r="Y398" s="139"/>
      <c r="Z398" s="139"/>
      <c r="AA398" s="139"/>
      <c r="AB398" s="139"/>
      <c r="AC398" s="139"/>
      <c r="AD398" s="139"/>
      <c r="AE398" s="139"/>
      <c r="AF398" s="140"/>
      <c r="AG398" s="140"/>
      <c r="AH398" s="140"/>
      <c r="AI398" s="140"/>
      <c r="AJ398" s="140"/>
      <c r="AK398" s="140"/>
      <c r="AL398" s="140"/>
      <c r="AM398" s="140"/>
      <c r="AN398" s="140"/>
      <c r="AO398" s="140"/>
      <c r="AP398" s="140"/>
      <c r="AQ398" s="140"/>
      <c r="AR398" s="140"/>
      <c r="AS398" s="140"/>
      <c r="AT398" s="140"/>
      <c r="AU398" s="140"/>
      <c r="AV398" s="140"/>
      <c r="AW398" s="140"/>
      <c r="AX398" s="140"/>
      <c r="AY398" s="140"/>
      <c r="AZ398" s="140"/>
      <c r="BA398" s="140"/>
      <c r="BB398" s="140"/>
      <c r="BC398" s="140"/>
      <c r="BD398" s="140"/>
      <c r="BE398" s="140"/>
    </row>
    <row r="399" s="119" customFormat="1" ht="60" customHeight="1" outlineLevel="2" spans="1:57">
      <c r="A399" s="162">
        <f t="shared" ref="A399:A410" si="96">1+N(A398)</f>
        <v>1</v>
      </c>
      <c r="B399" s="164" t="s">
        <v>224</v>
      </c>
      <c r="C399" s="15" t="s">
        <v>225</v>
      </c>
      <c r="D399" s="142" t="s">
        <v>63</v>
      </c>
      <c r="E399" s="143">
        <v>1.613</v>
      </c>
      <c r="F399" s="143">
        <f>$F$345</f>
        <v>35</v>
      </c>
      <c r="G399" s="143">
        <f>$G$345</f>
        <v>519.12</v>
      </c>
      <c r="H399" s="143">
        <f>$H$345</f>
        <v>54.7</v>
      </c>
      <c r="I399" s="17">
        <f t="shared" ref="I399:I410" si="97">(F399+G399+H399)*$I$3</f>
        <v>60.882</v>
      </c>
      <c r="J399" s="18">
        <f t="shared" ref="J399:J410" si="98">ROUND(SUM(F399:I399),2)</f>
        <v>669.7</v>
      </c>
      <c r="K399" s="19">
        <f t="shared" ref="K399:K410" si="99">ROUND(J399*E399,2)</f>
        <v>1080.23</v>
      </c>
      <c r="L399" s="178"/>
      <c r="M399" s="139">
        <v>1</v>
      </c>
      <c r="N399" s="139"/>
      <c r="O399" s="139"/>
      <c r="P399" s="37">
        <f t="shared" ref="P399:P410" si="100">Q399+Q399*R399+S399+T399+U399</f>
        <v>608.82</v>
      </c>
      <c r="Q399" s="99">
        <f>$Q$345</f>
        <v>504</v>
      </c>
      <c r="R399" s="163">
        <f>$R$345</f>
        <v>0.03</v>
      </c>
      <c r="S399" s="99">
        <f>$S$345</f>
        <v>35</v>
      </c>
      <c r="T399" s="99">
        <f>$T$345</f>
        <v>53.5</v>
      </c>
      <c r="U399" s="99">
        <f>$U$345</f>
        <v>1.2</v>
      </c>
      <c r="V399" s="37">
        <f t="shared" ref="V399:V410" si="101">P399*E399</f>
        <v>982.02666</v>
      </c>
      <c r="W399" s="139"/>
      <c r="X399" s="139"/>
      <c r="Y399" s="139"/>
      <c r="Z399" s="139"/>
      <c r="AA399" s="139"/>
      <c r="AB399" s="139"/>
      <c r="AC399" s="139"/>
      <c r="AD399" s="139"/>
      <c r="AE399" s="139"/>
      <c r="AF399" s="140"/>
      <c r="AG399" s="140"/>
      <c r="AH399" s="140"/>
      <c r="AI399" s="140"/>
      <c r="AJ399" s="140"/>
      <c r="AK399" s="140"/>
      <c r="AL399" s="140"/>
      <c r="AM399" s="140"/>
      <c r="AN399" s="140"/>
      <c r="AO399" s="140"/>
      <c r="AP399" s="140"/>
      <c r="AQ399" s="140"/>
      <c r="AR399" s="140"/>
      <c r="AS399" s="140"/>
      <c r="AT399" s="140"/>
      <c r="AU399" s="140"/>
      <c r="AV399" s="140"/>
      <c r="AW399" s="140"/>
      <c r="AX399" s="140"/>
      <c r="AY399" s="140"/>
      <c r="AZ399" s="140"/>
      <c r="BA399" s="140"/>
      <c r="BB399" s="140"/>
      <c r="BC399" s="140"/>
      <c r="BD399" s="140"/>
      <c r="BE399" s="140"/>
    </row>
    <row r="400" s="119" customFormat="1" ht="60" customHeight="1" outlineLevel="2" spans="1:57">
      <c r="A400" s="162">
        <f t="shared" si="96"/>
        <v>2</v>
      </c>
      <c r="B400" s="14" t="s">
        <v>226</v>
      </c>
      <c r="C400" s="15" t="s">
        <v>227</v>
      </c>
      <c r="D400" s="142" t="s">
        <v>63</v>
      </c>
      <c r="E400" s="143">
        <v>9.985</v>
      </c>
      <c r="F400" s="143">
        <f>$F$346</f>
        <v>35</v>
      </c>
      <c r="G400" s="143">
        <f>$G$346</f>
        <v>346.08</v>
      </c>
      <c r="H400" s="143">
        <f>$H$346</f>
        <v>54.7</v>
      </c>
      <c r="I400" s="17">
        <f t="shared" si="97"/>
        <v>43.578</v>
      </c>
      <c r="J400" s="18">
        <f t="shared" si="98"/>
        <v>479.36</v>
      </c>
      <c r="K400" s="19">
        <f t="shared" si="99"/>
        <v>4786.41</v>
      </c>
      <c r="L400" s="178"/>
      <c r="M400" s="139">
        <v>1</v>
      </c>
      <c r="N400" s="139"/>
      <c r="O400" s="139"/>
      <c r="P400" s="37">
        <f t="shared" si="100"/>
        <v>435.78</v>
      </c>
      <c r="Q400" s="99">
        <f>$Q$346</f>
        <v>336</v>
      </c>
      <c r="R400" s="163">
        <f>$R$346</f>
        <v>0.03</v>
      </c>
      <c r="S400" s="99">
        <f>$S$346</f>
        <v>35</v>
      </c>
      <c r="T400" s="99">
        <f>$T$346</f>
        <v>53.5</v>
      </c>
      <c r="U400" s="99">
        <f>$U$346</f>
        <v>1.2</v>
      </c>
      <c r="V400" s="37">
        <f t="shared" si="101"/>
        <v>4351.2633</v>
      </c>
      <c r="W400" s="139"/>
      <c r="X400" s="139"/>
      <c r="Y400" s="139"/>
      <c r="Z400" s="139"/>
      <c r="AA400" s="139"/>
      <c r="AB400" s="139"/>
      <c r="AC400" s="139"/>
      <c r="AD400" s="139"/>
      <c r="AE400" s="139"/>
      <c r="AF400" s="140"/>
      <c r="AG400" s="140"/>
      <c r="AH400" s="140"/>
      <c r="AI400" s="140"/>
      <c r="AJ400" s="140"/>
      <c r="AK400" s="140"/>
      <c r="AL400" s="140"/>
      <c r="AM400" s="140"/>
      <c r="AN400" s="140"/>
      <c r="AO400" s="140"/>
      <c r="AP400" s="140"/>
      <c r="AQ400" s="140"/>
      <c r="AR400" s="140"/>
      <c r="AS400" s="140"/>
      <c r="AT400" s="140"/>
      <c r="AU400" s="140"/>
      <c r="AV400" s="140"/>
      <c r="AW400" s="140"/>
      <c r="AX400" s="140"/>
      <c r="AY400" s="140"/>
      <c r="AZ400" s="140"/>
      <c r="BA400" s="140"/>
      <c r="BB400" s="140"/>
      <c r="BC400" s="140"/>
      <c r="BD400" s="140"/>
      <c r="BE400" s="140"/>
    </row>
    <row r="401" s="119" customFormat="1" ht="72" customHeight="1" outlineLevel="2" spans="1:57">
      <c r="A401" s="162">
        <f t="shared" si="96"/>
        <v>3</v>
      </c>
      <c r="B401" s="165" t="s">
        <v>228</v>
      </c>
      <c r="C401" s="15" t="s">
        <v>229</v>
      </c>
      <c r="D401" s="142" t="s">
        <v>63</v>
      </c>
      <c r="E401" s="143">
        <v>10.962</v>
      </c>
      <c r="F401" s="143">
        <f>$F$347</f>
        <v>110</v>
      </c>
      <c r="G401" s="143">
        <f>$G$347</f>
        <v>86.355</v>
      </c>
      <c r="H401" s="143">
        <f>$H$347</f>
        <v>56.797</v>
      </c>
      <c r="I401" s="17">
        <f t="shared" si="97"/>
        <v>25.3152</v>
      </c>
      <c r="J401" s="18">
        <f t="shared" si="98"/>
        <v>278.47</v>
      </c>
      <c r="K401" s="19">
        <f t="shared" si="99"/>
        <v>3052.59</v>
      </c>
      <c r="L401" s="178"/>
      <c r="M401" s="139">
        <v>1</v>
      </c>
      <c r="N401" s="139"/>
      <c r="O401" s="139"/>
      <c r="P401" s="37">
        <f t="shared" si="100"/>
        <v>253.152</v>
      </c>
      <c r="Q401" s="99">
        <f>$Q$347</f>
        <v>85.5</v>
      </c>
      <c r="R401" s="163">
        <f>$R$347</f>
        <v>0.01</v>
      </c>
      <c r="S401" s="99">
        <f>$S$347</f>
        <v>110</v>
      </c>
      <c r="T401" s="99">
        <f>$T$347</f>
        <v>55.997</v>
      </c>
      <c r="U401" s="99">
        <f>$U$347</f>
        <v>0.8</v>
      </c>
      <c r="V401" s="37">
        <f t="shared" si="101"/>
        <v>2775.052224</v>
      </c>
      <c r="W401" s="139"/>
      <c r="X401" s="139"/>
      <c r="Y401" s="139"/>
      <c r="Z401" s="139"/>
      <c r="AA401" s="139"/>
      <c r="AB401" s="139"/>
      <c r="AC401" s="139"/>
      <c r="AD401" s="139"/>
      <c r="AE401" s="139"/>
      <c r="AF401" s="140"/>
      <c r="AG401" s="140"/>
      <c r="AH401" s="140"/>
      <c r="AI401" s="140"/>
      <c r="AJ401" s="140"/>
      <c r="AK401" s="140"/>
      <c r="AL401" s="140"/>
      <c r="AM401" s="140"/>
      <c r="AN401" s="140"/>
      <c r="AO401" s="140"/>
      <c r="AP401" s="140"/>
      <c r="AQ401" s="140"/>
      <c r="AR401" s="140"/>
      <c r="AS401" s="140"/>
      <c r="AT401" s="140"/>
      <c r="AU401" s="140"/>
      <c r="AV401" s="140"/>
      <c r="AW401" s="140"/>
      <c r="AX401" s="140"/>
      <c r="AY401" s="140"/>
      <c r="AZ401" s="140"/>
      <c r="BA401" s="140"/>
      <c r="BB401" s="140"/>
      <c r="BC401" s="140"/>
      <c r="BD401" s="140"/>
      <c r="BE401" s="140"/>
    </row>
    <row r="402" s="119" customFormat="1" ht="60" customHeight="1" outlineLevel="2" spans="1:57">
      <c r="A402" s="162">
        <f t="shared" si="96"/>
        <v>4</v>
      </c>
      <c r="B402" s="165" t="s">
        <v>131</v>
      </c>
      <c r="C402" s="15" t="s">
        <v>230</v>
      </c>
      <c r="D402" s="142" t="s">
        <v>63</v>
      </c>
      <c r="E402" s="143">
        <f>0.355*2.4*2+0.375*0.25*3</f>
        <v>1.98525</v>
      </c>
      <c r="F402" s="143">
        <f>$F$348</f>
        <v>110</v>
      </c>
      <c r="G402" s="143">
        <f>$G$348</f>
        <v>454.5</v>
      </c>
      <c r="H402" s="143">
        <f>$H$348</f>
        <v>55.2</v>
      </c>
      <c r="I402" s="17">
        <f t="shared" si="97"/>
        <v>61.97</v>
      </c>
      <c r="J402" s="18">
        <f t="shared" si="98"/>
        <v>681.67</v>
      </c>
      <c r="K402" s="19">
        <f t="shared" si="99"/>
        <v>1353.29</v>
      </c>
      <c r="L402" s="178"/>
      <c r="M402" s="139">
        <v>1</v>
      </c>
      <c r="N402" s="139"/>
      <c r="O402" s="139"/>
      <c r="P402" s="37">
        <f t="shared" si="100"/>
        <v>619.7</v>
      </c>
      <c r="Q402" s="99">
        <f>$Q$348</f>
        <v>450</v>
      </c>
      <c r="R402" s="163">
        <f>$R$348</f>
        <v>0.01</v>
      </c>
      <c r="S402" s="99">
        <f>$S$348</f>
        <v>110</v>
      </c>
      <c r="T402" s="99">
        <f>$T$348</f>
        <v>54</v>
      </c>
      <c r="U402" s="99">
        <f>$U$348</f>
        <v>1.2</v>
      </c>
      <c r="V402" s="37">
        <f t="shared" si="101"/>
        <v>1230.259425</v>
      </c>
      <c r="W402" s="139"/>
      <c r="X402" s="139"/>
      <c r="Y402" s="139"/>
      <c r="Z402" s="139"/>
      <c r="AA402" s="139"/>
      <c r="AB402" s="139"/>
      <c r="AC402" s="139"/>
      <c r="AD402" s="139"/>
      <c r="AE402" s="139"/>
      <c r="AF402" s="140"/>
      <c r="AG402" s="140"/>
      <c r="AH402" s="140"/>
      <c r="AI402" s="140"/>
      <c r="AJ402" s="140"/>
      <c r="AK402" s="140"/>
      <c r="AL402" s="140"/>
      <c r="AM402" s="140"/>
      <c r="AN402" s="140"/>
      <c r="AO402" s="140"/>
      <c r="AP402" s="140"/>
      <c r="AQ402" s="140"/>
      <c r="AR402" s="140"/>
      <c r="AS402" s="140"/>
      <c r="AT402" s="140"/>
      <c r="AU402" s="140"/>
      <c r="AV402" s="140"/>
      <c r="AW402" s="140"/>
      <c r="AX402" s="140"/>
      <c r="AY402" s="140"/>
      <c r="AZ402" s="140"/>
      <c r="BA402" s="140"/>
      <c r="BB402" s="140"/>
      <c r="BC402" s="140"/>
      <c r="BD402" s="140"/>
      <c r="BE402" s="140"/>
    </row>
    <row r="403" s="119" customFormat="1" ht="60" customHeight="1" outlineLevel="2" spans="1:57">
      <c r="A403" s="162">
        <f t="shared" si="96"/>
        <v>5</v>
      </c>
      <c r="B403" s="165" t="s">
        <v>231</v>
      </c>
      <c r="C403" s="15" t="s">
        <v>232</v>
      </c>
      <c r="D403" s="142" t="s">
        <v>63</v>
      </c>
      <c r="E403" s="143">
        <f>0.133*2+(0.59-0.05)*3</f>
        <v>1.886</v>
      </c>
      <c r="F403" s="143">
        <f>$F$349</f>
        <v>110</v>
      </c>
      <c r="G403" s="143">
        <f>$G$349</f>
        <v>858.5</v>
      </c>
      <c r="H403" s="143">
        <f>$H$349</f>
        <v>55.2</v>
      </c>
      <c r="I403" s="17">
        <f t="shared" si="97"/>
        <v>102.37</v>
      </c>
      <c r="J403" s="18">
        <f t="shared" si="98"/>
        <v>1126.07</v>
      </c>
      <c r="K403" s="19">
        <f t="shared" si="99"/>
        <v>2123.77</v>
      </c>
      <c r="L403" s="178"/>
      <c r="M403" s="139">
        <v>1</v>
      </c>
      <c r="N403" s="139"/>
      <c r="O403" s="139"/>
      <c r="P403" s="37">
        <f t="shared" si="100"/>
        <v>1023.7</v>
      </c>
      <c r="Q403" s="99">
        <f>$Q$349</f>
        <v>850</v>
      </c>
      <c r="R403" s="163">
        <f>$R$349</f>
        <v>0.01</v>
      </c>
      <c r="S403" s="99">
        <f>$S$349</f>
        <v>110</v>
      </c>
      <c r="T403" s="99">
        <f>$T$349</f>
        <v>54</v>
      </c>
      <c r="U403" s="99">
        <f>$U$349</f>
        <v>1.2</v>
      </c>
      <c r="V403" s="37">
        <f t="shared" si="101"/>
        <v>1930.6982</v>
      </c>
      <c r="W403" s="139"/>
      <c r="X403" s="139"/>
      <c r="Y403" s="139"/>
      <c r="Z403" s="139"/>
      <c r="AA403" s="139"/>
      <c r="AB403" s="139"/>
      <c r="AC403" s="139"/>
      <c r="AD403" s="139"/>
      <c r="AE403" s="139"/>
      <c r="AF403" s="140"/>
      <c r="AG403" s="140"/>
      <c r="AH403" s="140"/>
      <c r="AI403" s="140"/>
      <c r="AJ403" s="140"/>
      <c r="AK403" s="140"/>
      <c r="AL403" s="140"/>
      <c r="AM403" s="140"/>
      <c r="AN403" s="140"/>
      <c r="AO403" s="140"/>
      <c r="AP403" s="140"/>
      <c r="AQ403" s="140"/>
      <c r="AR403" s="140"/>
      <c r="AS403" s="140"/>
      <c r="AT403" s="140"/>
      <c r="AU403" s="140"/>
      <c r="AV403" s="140"/>
      <c r="AW403" s="140"/>
      <c r="AX403" s="140"/>
      <c r="AY403" s="140"/>
      <c r="AZ403" s="140"/>
      <c r="BA403" s="140"/>
      <c r="BB403" s="140"/>
      <c r="BC403" s="140"/>
      <c r="BD403" s="140"/>
      <c r="BE403" s="140"/>
    </row>
    <row r="404" s="119" customFormat="1" ht="60" customHeight="1" outlineLevel="2" spans="1:57">
      <c r="A404" s="162">
        <f t="shared" si="96"/>
        <v>6</v>
      </c>
      <c r="B404" s="165" t="s">
        <v>233</v>
      </c>
      <c r="C404" s="15" t="s">
        <v>234</v>
      </c>
      <c r="D404" s="142" t="s">
        <v>63</v>
      </c>
      <c r="E404" s="143">
        <f>0.075*0.25*3</f>
        <v>0.05625</v>
      </c>
      <c r="F404" s="143">
        <f>$F$350</f>
        <v>150</v>
      </c>
      <c r="G404" s="143">
        <f>$G$350</f>
        <v>277.2</v>
      </c>
      <c r="H404" s="143">
        <f>$H$350</f>
        <v>94</v>
      </c>
      <c r="I404" s="17">
        <f t="shared" si="97"/>
        <v>52.12</v>
      </c>
      <c r="J404" s="18">
        <f t="shared" si="98"/>
        <v>573.32</v>
      </c>
      <c r="K404" s="19">
        <f t="shared" si="99"/>
        <v>32.25</v>
      </c>
      <c r="L404" s="178"/>
      <c r="M404" s="139">
        <v>1</v>
      </c>
      <c r="N404" s="139"/>
      <c r="O404" s="139"/>
      <c r="P404" s="37">
        <f t="shared" si="100"/>
        <v>521.2</v>
      </c>
      <c r="Q404" s="99">
        <f>$Q$350</f>
        <v>264</v>
      </c>
      <c r="R404" s="163">
        <f>$R$350</f>
        <v>0.05</v>
      </c>
      <c r="S404" s="99">
        <f>$S$350</f>
        <v>150</v>
      </c>
      <c r="T404" s="99">
        <f>$T$350</f>
        <v>92.5</v>
      </c>
      <c r="U404" s="99">
        <f>$U$350</f>
        <v>1.5</v>
      </c>
      <c r="V404" s="37">
        <f t="shared" si="101"/>
        <v>29.3175</v>
      </c>
      <c r="W404" s="139"/>
      <c r="X404" s="139"/>
      <c r="Y404" s="139"/>
      <c r="Z404" s="139"/>
      <c r="AA404" s="139"/>
      <c r="AB404" s="139"/>
      <c r="AC404" s="139"/>
      <c r="AD404" s="139"/>
      <c r="AE404" s="139"/>
      <c r="AF404" s="140"/>
      <c r="AG404" s="140"/>
      <c r="AH404" s="140"/>
      <c r="AI404" s="140"/>
      <c r="AJ404" s="140"/>
      <c r="AK404" s="140"/>
      <c r="AL404" s="140"/>
      <c r="AM404" s="140"/>
      <c r="AN404" s="140"/>
      <c r="AO404" s="140"/>
      <c r="AP404" s="140"/>
      <c r="AQ404" s="140"/>
      <c r="AR404" s="140"/>
      <c r="AS404" s="140"/>
      <c r="AT404" s="140"/>
      <c r="AU404" s="140"/>
      <c r="AV404" s="140"/>
      <c r="AW404" s="140"/>
      <c r="AX404" s="140"/>
      <c r="AY404" s="140"/>
      <c r="AZ404" s="140"/>
      <c r="BA404" s="140"/>
      <c r="BB404" s="140"/>
      <c r="BC404" s="140"/>
      <c r="BD404" s="140"/>
      <c r="BE404" s="140"/>
    </row>
    <row r="405" s="119" customFormat="1" ht="60" customHeight="1" outlineLevel="2" spans="1:57">
      <c r="A405" s="162">
        <f t="shared" si="96"/>
        <v>7</v>
      </c>
      <c r="B405" s="165" t="s">
        <v>85</v>
      </c>
      <c r="C405" s="166" t="s">
        <v>86</v>
      </c>
      <c r="D405" s="165" t="s">
        <v>63</v>
      </c>
      <c r="E405" s="143">
        <f>+(0.308+0.074)*0.95*2</f>
        <v>0.7258</v>
      </c>
      <c r="F405" s="143">
        <f>$F$19</f>
        <v>110</v>
      </c>
      <c r="G405" s="143">
        <f>$G$19</f>
        <v>454.5</v>
      </c>
      <c r="H405" s="143">
        <f>$H$19</f>
        <v>55.2</v>
      </c>
      <c r="I405" s="17">
        <f t="shared" si="97"/>
        <v>61.97</v>
      </c>
      <c r="J405" s="18">
        <f t="shared" si="98"/>
        <v>681.67</v>
      </c>
      <c r="K405" s="19">
        <f t="shared" si="99"/>
        <v>494.76</v>
      </c>
      <c r="L405" s="178"/>
      <c r="M405" s="139">
        <v>1</v>
      </c>
      <c r="N405" s="139"/>
      <c r="O405" s="139"/>
      <c r="P405" s="37">
        <f t="shared" si="100"/>
        <v>619.7</v>
      </c>
      <c r="Q405" s="99">
        <f>$Q$19</f>
        <v>450</v>
      </c>
      <c r="R405" s="163">
        <f>$R$19</f>
        <v>0.01</v>
      </c>
      <c r="S405" s="99">
        <f>$S$19</f>
        <v>110</v>
      </c>
      <c r="T405" s="99">
        <f>$T$19</f>
        <v>54</v>
      </c>
      <c r="U405" s="99">
        <f>$U$19</f>
        <v>1.2</v>
      </c>
      <c r="V405" s="37">
        <f t="shared" si="101"/>
        <v>449.77826</v>
      </c>
      <c r="W405" s="139"/>
      <c r="X405" s="139"/>
      <c r="Y405" s="139"/>
      <c r="Z405" s="139"/>
      <c r="AA405" s="139"/>
      <c r="AB405" s="139"/>
      <c r="AC405" s="139"/>
      <c r="AD405" s="139"/>
      <c r="AE405" s="139"/>
      <c r="AF405" s="140"/>
      <c r="AG405" s="140"/>
      <c r="AH405" s="140"/>
      <c r="AI405" s="140"/>
      <c r="AJ405" s="140"/>
      <c r="AK405" s="140"/>
      <c r="AL405" s="140"/>
      <c r="AM405" s="140"/>
      <c r="AN405" s="140"/>
      <c r="AO405" s="140"/>
      <c r="AP405" s="140"/>
      <c r="AQ405" s="140"/>
      <c r="AR405" s="140"/>
      <c r="AS405" s="140"/>
      <c r="AT405" s="140"/>
      <c r="AU405" s="140"/>
      <c r="AV405" s="140"/>
      <c r="AW405" s="140"/>
      <c r="AX405" s="140"/>
      <c r="AY405" s="140"/>
      <c r="AZ405" s="140"/>
      <c r="BA405" s="140"/>
      <c r="BB405" s="140"/>
      <c r="BC405" s="140"/>
      <c r="BD405" s="140"/>
      <c r="BE405" s="140"/>
    </row>
    <row r="406" s="119" customFormat="1" ht="48" customHeight="1" outlineLevel="2" spans="1:57">
      <c r="A406" s="162">
        <f t="shared" si="96"/>
        <v>8</v>
      </c>
      <c r="B406" s="165" t="s">
        <v>91</v>
      </c>
      <c r="C406" s="166" t="s">
        <v>92</v>
      </c>
      <c r="D406" s="165" t="s">
        <v>70</v>
      </c>
      <c r="E406" s="143">
        <v>10.944</v>
      </c>
      <c r="F406" s="143">
        <f>$F$22</f>
        <v>12</v>
      </c>
      <c r="G406" s="143">
        <f>$G$22</f>
        <v>25.75</v>
      </c>
      <c r="H406" s="143">
        <f>$H$22</f>
        <v>3.8</v>
      </c>
      <c r="I406" s="17">
        <f t="shared" si="97"/>
        <v>4.155</v>
      </c>
      <c r="J406" s="18">
        <f t="shared" si="98"/>
        <v>45.71</v>
      </c>
      <c r="K406" s="19">
        <f t="shared" si="99"/>
        <v>500.25</v>
      </c>
      <c r="L406" s="178"/>
      <c r="M406" s="139">
        <v>1</v>
      </c>
      <c r="N406" s="139"/>
      <c r="O406" s="139"/>
      <c r="P406" s="37">
        <f t="shared" si="100"/>
        <v>41.55</v>
      </c>
      <c r="Q406" s="99">
        <f>$Q$22</f>
        <v>25</v>
      </c>
      <c r="R406" s="163">
        <f>$R$22</f>
        <v>0.03</v>
      </c>
      <c r="S406" s="99">
        <f>$S$22</f>
        <v>12</v>
      </c>
      <c r="T406" s="99">
        <f>$T$22</f>
        <v>3.5</v>
      </c>
      <c r="U406" s="99">
        <f>$U$22</f>
        <v>0.3</v>
      </c>
      <c r="V406" s="37">
        <f t="shared" si="101"/>
        <v>454.7232</v>
      </c>
      <c r="W406" s="139"/>
      <c r="X406" s="139"/>
      <c r="Y406" s="139"/>
      <c r="Z406" s="139"/>
      <c r="AA406" s="139"/>
      <c r="AB406" s="139"/>
      <c r="AC406" s="139"/>
      <c r="AD406" s="139"/>
      <c r="AE406" s="139"/>
      <c r="AF406" s="140"/>
      <c r="AG406" s="140"/>
      <c r="AH406" s="140"/>
      <c r="AI406" s="140"/>
      <c r="AJ406" s="140"/>
      <c r="AK406" s="140"/>
      <c r="AL406" s="140"/>
      <c r="AM406" s="140"/>
      <c r="AN406" s="140"/>
      <c r="AO406" s="140"/>
      <c r="AP406" s="140"/>
      <c r="AQ406" s="140"/>
      <c r="AR406" s="140"/>
      <c r="AS406" s="140"/>
      <c r="AT406" s="140"/>
      <c r="AU406" s="140"/>
      <c r="AV406" s="140"/>
      <c r="AW406" s="140"/>
      <c r="AX406" s="140"/>
      <c r="AY406" s="140"/>
      <c r="AZ406" s="140"/>
      <c r="BA406" s="140"/>
      <c r="BB406" s="140"/>
      <c r="BC406" s="140"/>
      <c r="BD406" s="140"/>
      <c r="BE406" s="140"/>
    </row>
    <row r="407" s="119" customFormat="1" ht="36" customHeight="1" outlineLevel="2" spans="1:57">
      <c r="A407" s="162">
        <f t="shared" si="96"/>
        <v>9</v>
      </c>
      <c r="B407" s="165" t="s">
        <v>235</v>
      </c>
      <c r="C407" s="166" t="s">
        <v>236</v>
      </c>
      <c r="D407" s="165" t="s">
        <v>70</v>
      </c>
      <c r="E407" s="143">
        <f>3.95*2+5.22*3</f>
        <v>23.56</v>
      </c>
      <c r="F407" s="143">
        <f>$F$353</f>
        <v>15</v>
      </c>
      <c r="G407" s="143">
        <f>$G$353</f>
        <v>18.7975</v>
      </c>
      <c r="H407" s="143">
        <f>$H$353</f>
        <v>3.8</v>
      </c>
      <c r="I407" s="17">
        <f t="shared" si="97"/>
        <v>3.75975</v>
      </c>
      <c r="J407" s="18">
        <f t="shared" si="98"/>
        <v>41.36</v>
      </c>
      <c r="K407" s="19">
        <f t="shared" si="99"/>
        <v>974.44</v>
      </c>
      <c r="L407" s="178"/>
      <c r="M407" s="139">
        <v>1</v>
      </c>
      <c r="N407" s="139"/>
      <c r="O407" s="139"/>
      <c r="P407" s="37">
        <f t="shared" si="100"/>
        <v>37.5975</v>
      </c>
      <c r="Q407" s="99">
        <f>$Q$353</f>
        <v>18.25</v>
      </c>
      <c r="R407" s="163">
        <f>$R$353</f>
        <v>0.03</v>
      </c>
      <c r="S407" s="99">
        <f>$S$353</f>
        <v>15</v>
      </c>
      <c r="T407" s="99">
        <f>$T$353</f>
        <v>3.5</v>
      </c>
      <c r="U407" s="99">
        <f>$U$353</f>
        <v>0.3</v>
      </c>
      <c r="V407" s="37">
        <f t="shared" si="101"/>
        <v>885.7971</v>
      </c>
      <c r="W407" s="139"/>
      <c r="X407" s="139"/>
      <c r="Y407" s="139"/>
      <c r="Z407" s="139"/>
      <c r="AA407" s="139"/>
      <c r="AB407" s="139"/>
      <c r="AC407" s="139"/>
      <c r="AD407" s="139"/>
      <c r="AE407" s="139"/>
      <c r="AF407" s="140"/>
      <c r="AG407" s="140"/>
      <c r="AH407" s="140"/>
      <c r="AI407" s="140"/>
      <c r="AJ407" s="140"/>
      <c r="AK407" s="140"/>
      <c r="AL407" s="140"/>
      <c r="AM407" s="140"/>
      <c r="AN407" s="140"/>
      <c r="AO407" s="140"/>
      <c r="AP407" s="140"/>
      <c r="AQ407" s="140"/>
      <c r="AR407" s="140"/>
      <c r="AS407" s="140"/>
      <c r="AT407" s="140"/>
      <c r="AU407" s="140"/>
      <c r="AV407" s="140"/>
      <c r="AW407" s="140"/>
      <c r="AX407" s="140"/>
      <c r="AY407" s="140"/>
      <c r="AZ407" s="140"/>
      <c r="BA407" s="140"/>
      <c r="BB407" s="140"/>
      <c r="BC407" s="140"/>
      <c r="BD407" s="140"/>
      <c r="BE407" s="140"/>
    </row>
    <row r="408" s="119" customFormat="1" ht="36" customHeight="1" outlineLevel="2" spans="1:57">
      <c r="A408" s="162">
        <f t="shared" si="96"/>
        <v>10</v>
      </c>
      <c r="B408" s="165" t="s">
        <v>237</v>
      </c>
      <c r="C408" s="166" t="s">
        <v>238</v>
      </c>
      <c r="D408" s="165" t="s">
        <v>70</v>
      </c>
      <c r="E408" s="143">
        <v>3.226</v>
      </c>
      <c r="F408" s="143">
        <f>$F$354</f>
        <v>15</v>
      </c>
      <c r="G408" s="143">
        <f>$G$354</f>
        <v>18.7975</v>
      </c>
      <c r="H408" s="143">
        <f>$H$354</f>
        <v>3.8</v>
      </c>
      <c r="I408" s="17">
        <f t="shared" si="97"/>
        <v>3.75975</v>
      </c>
      <c r="J408" s="18">
        <f t="shared" si="98"/>
        <v>41.36</v>
      </c>
      <c r="K408" s="19">
        <f t="shared" si="99"/>
        <v>133.43</v>
      </c>
      <c r="L408" s="178"/>
      <c r="M408" s="139">
        <v>1</v>
      </c>
      <c r="N408" s="139"/>
      <c r="O408" s="139"/>
      <c r="P408" s="37">
        <f t="shared" si="100"/>
        <v>37.5975</v>
      </c>
      <c r="Q408" s="99">
        <f>$Q$354</f>
        <v>18.25</v>
      </c>
      <c r="R408" s="163">
        <f>$R$354</f>
        <v>0.03</v>
      </c>
      <c r="S408" s="99">
        <f>$S$354</f>
        <v>15</v>
      </c>
      <c r="T408" s="99">
        <f>$T$354</f>
        <v>3.5</v>
      </c>
      <c r="U408" s="99">
        <f>$U$354</f>
        <v>0.3</v>
      </c>
      <c r="V408" s="37">
        <f t="shared" si="101"/>
        <v>121.289535</v>
      </c>
      <c r="W408" s="139"/>
      <c r="X408" s="139"/>
      <c r="Y408" s="139"/>
      <c r="Z408" s="139"/>
      <c r="AA408" s="139"/>
      <c r="AB408" s="139"/>
      <c r="AC408" s="139"/>
      <c r="AD408" s="139"/>
      <c r="AE408" s="139"/>
      <c r="AF408" s="140"/>
      <c r="AG408" s="140"/>
      <c r="AH408" s="140"/>
      <c r="AI408" s="140"/>
      <c r="AJ408" s="140"/>
      <c r="AK408" s="140"/>
      <c r="AL408" s="140"/>
      <c r="AM408" s="140"/>
      <c r="AN408" s="140"/>
      <c r="AO408" s="140"/>
      <c r="AP408" s="140"/>
      <c r="AQ408" s="140"/>
      <c r="AR408" s="140"/>
      <c r="AS408" s="140"/>
      <c r="AT408" s="140"/>
      <c r="AU408" s="140"/>
      <c r="AV408" s="140"/>
      <c r="AW408" s="140"/>
      <c r="AX408" s="140"/>
      <c r="AY408" s="140"/>
      <c r="AZ408" s="140"/>
      <c r="BA408" s="140"/>
      <c r="BB408" s="140"/>
      <c r="BC408" s="140"/>
      <c r="BD408" s="140"/>
      <c r="BE408" s="140"/>
    </row>
    <row r="409" s="119" customFormat="1" ht="48" customHeight="1" outlineLevel="2" spans="1:57">
      <c r="A409" s="162">
        <f t="shared" si="96"/>
        <v>11</v>
      </c>
      <c r="B409" s="165" t="s">
        <v>99</v>
      </c>
      <c r="C409" s="166" t="s">
        <v>100</v>
      </c>
      <c r="D409" s="165" t="s">
        <v>70</v>
      </c>
      <c r="E409" s="143">
        <v>10.944</v>
      </c>
      <c r="F409" s="143">
        <f>$F$26</f>
        <v>12</v>
      </c>
      <c r="G409" s="143">
        <f>$G$26</f>
        <v>23.4325</v>
      </c>
      <c r="H409" s="143">
        <f>$H$26</f>
        <v>3.8</v>
      </c>
      <c r="I409" s="17">
        <f t="shared" si="97"/>
        <v>3.92325</v>
      </c>
      <c r="J409" s="18">
        <f t="shared" si="98"/>
        <v>43.16</v>
      </c>
      <c r="K409" s="19">
        <f t="shared" si="99"/>
        <v>472.34</v>
      </c>
      <c r="L409" s="178"/>
      <c r="M409" s="139">
        <v>1</v>
      </c>
      <c r="N409" s="139"/>
      <c r="O409" s="139"/>
      <c r="P409" s="37">
        <f t="shared" si="100"/>
        <v>39.2325</v>
      </c>
      <c r="Q409" s="99">
        <f>$Q$26</f>
        <v>22.75</v>
      </c>
      <c r="R409" s="163">
        <f>$R$26</f>
        <v>0.03</v>
      </c>
      <c r="S409" s="99">
        <f>$S$26</f>
        <v>12</v>
      </c>
      <c r="T409" s="99">
        <f>$T$26</f>
        <v>3.5</v>
      </c>
      <c r="U409" s="99">
        <f>$U$26</f>
        <v>0.3</v>
      </c>
      <c r="V409" s="37">
        <f t="shared" si="101"/>
        <v>429.36048</v>
      </c>
      <c r="W409" s="139"/>
      <c r="X409" s="139"/>
      <c r="Y409" s="139"/>
      <c r="Z409" s="139"/>
      <c r="AA409" s="139"/>
      <c r="AB409" s="139"/>
      <c r="AC409" s="139"/>
      <c r="AD409" s="139"/>
      <c r="AE409" s="139"/>
      <c r="AF409" s="140"/>
      <c r="AG409" s="140"/>
      <c r="AH409" s="140"/>
      <c r="AI409" s="140"/>
      <c r="AJ409" s="140"/>
      <c r="AK409" s="140"/>
      <c r="AL409" s="140"/>
      <c r="AM409" s="140"/>
      <c r="AN409" s="140"/>
      <c r="AO409" s="140"/>
      <c r="AP409" s="140"/>
      <c r="AQ409" s="140"/>
      <c r="AR409" s="140"/>
      <c r="AS409" s="140"/>
      <c r="AT409" s="140"/>
      <c r="AU409" s="140"/>
      <c r="AV409" s="140"/>
      <c r="AW409" s="140"/>
      <c r="AX409" s="140"/>
      <c r="AY409" s="140"/>
      <c r="AZ409" s="140"/>
      <c r="BA409" s="140"/>
      <c r="BB409" s="140"/>
      <c r="BC409" s="140"/>
      <c r="BD409" s="140"/>
      <c r="BE409" s="140"/>
    </row>
    <row r="410" s="119" customFormat="1" ht="36" customHeight="1" outlineLevel="2" spans="1:57">
      <c r="A410" s="162">
        <f t="shared" si="96"/>
        <v>12</v>
      </c>
      <c r="B410" s="165" t="s">
        <v>239</v>
      </c>
      <c r="C410" s="166" t="s">
        <v>240</v>
      </c>
      <c r="D410" s="165" t="s">
        <v>63</v>
      </c>
      <c r="E410" s="143">
        <f>4.9*0.095</f>
        <v>0.4655</v>
      </c>
      <c r="F410" s="143">
        <f>$F$356</f>
        <v>110</v>
      </c>
      <c r="G410" s="143">
        <f>$G$356</f>
        <v>454.5</v>
      </c>
      <c r="H410" s="143">
        <f>$H$356</f>
        <v>55.2</v>
      </c>
      <c r="I410" s="17">
        <f t="shared" si="97"/>
        <v>61.97</v>
      </c>
      <c r="J410" s="18">
        <f t="shared" si="98"/>
        <v>681.67</v>
      </c>
      <c r="K410" s="19">
        <f t="shared" si="99"/>
        <v>317.32</v>
      </c>
      <c r="L410" s="178"/>
      <c r="M410" s="139">
        <v>1</v>
      </c>
      <c r="N410" s="139"/>
      <c r="O410" s="139"/>
      <c r="P410" s="37">
        <f t="shared" si="100"/>
        <v>619.7</v>
      </c>
      <c r="Q410" s="99">
        <f>$Q$356</f>
        <v>450</v>
      </c>
      <c r="R410" s="163">
        <f>$R$356</f>
        <v>0.01</v>
      </c>
      <c r="S410" s="99">
        <f>$S$356</f>
        <v>110</v>
      </c>
      <c r="T410" s="99">
        <f>$T$356</f>
        <v>54</v>
      </c>
      <c r="U410" s="99">
        <f>$U$356</f>
        <v>1.2</v>
      </c>
      <c r="V410" s="37">
        <f t="shared" si="101"/>
        <v>288.47035</v>
      </c>
      <c r="W410" s="139"/>
      <c r="X410" s="139"/>
      <c r="Y410" s="139"/>
      <c r="Z410" s="139"/>
      <c r="AA410" s="139"/>
      <c r="AB410" s="139"/>
      <c r="AC410" s="139"/>
      <c r="AD410" s="139"/>
      <c r="AE410" s="139"/>
      <c r="AF410" s="140"/>
      <c r="AG410" s="140"/>
      <c r="AH410" s="140"/>
      <c r="AI410" s="140"/>
      <c r="AJ410" s="140"/>
      <c r="AK410" s="140"/>
      <c r="AL410" s="140"/>
      <c r="AM410" s="140"/>
      <c r="AN410" s="140"/>
      <c r="AO410" s="140"/>
      <c r="AP410" s="140"/>
      <c r="AQ410" s="140"/>
      <c r="AR410" s="140"/>
      <c r="AS410" s="140"/>
      <c r="AT410" s="140"/>
      <c r="AU410" s="140"/>
      <c r="AV410" s="140"/>
      <c r="AW410" s="140"/>
      <c r="AX410" s="140"/>
      <c r="AY410" s="140"/>
      <c r="AZ410" s="140"/>
      <c r="BA410" s="140"/>
      <c r="BB410" s="140"/>
      <c r="BC410" s="140"/>
      <c r="BD410" s="140"/>
      <c r="BE410" s="140"/>
    </row>
    <row r="411" s="119" customFormat="1" ht="24" customHeight="1" outlineLevel="1" spans="1:57">
      <c r="A411" s="141"/>
      <c r="B411" s="14" t="s">
        <v>101</v>
      </c>
      <c r="C411" s="15"/>
      <c r="D411" s="142"/>
      <c r="E411" s="143"/>
      <c r="F411" s="143"/>
      <c r="G411" s="143"/>
      <c r="H411" s="143"/>
      <c r="I411" s="143"/>
      <c r="J411" s="143"/>
      <c r="K411" s="144"/>
      <c r="L411" s="178"/>
      <c r="M411" s="139"/>
      <c r="N411" s="139"/>
      <c r="O411" s="139"/>
      <c r="P411" s="137"/>
      <c r="Q411" s="137"/>
      <c r="R411" s="138"/>
      <c r="S411" s="137"/>
      <c r="T411" s="137"/>
      <c r="U411" s="137"/>
      <c r="V411" s="137"/>
      <c r="W411" s="139"/>
      <c r="X411" s="139"/>
      <c r="Y411" s="139"/>
      <c r="Z411" s="139"/>
      <c r="AA411" s="139"/>
      <c r="AB411" s="139"/>
      <c r="AC411" s="139"/>
      <c r="AD411" s="139"/>
      <c r="AE411" s="139"/>
      <c r="AF411" s="140"/>
      <c r="AG411" s="140"/>
      <c r="AH411" s="140"/>
      <c r="AI411" s="140"/>
      <c r="AJ411" s="140"/>
      <c r="AK411" s="140"/>
      <c r="AL411" s="140"/>
      <c r="AM411" s="140"/>
      <c r="AN411" s="140"/>
      <c r="AO411" s="140"/>
      <c r="AP411" s="140"/>
      <c r="AQ411" s="140"/>
      <c r="AR411" s="140"/>
      <c r="AS411" s="140"/>
      <c r="AT411" s="140"/>
      <c r="AU411" s="140"/>
      <c r="AV411" s="140"/>
      <c r="AW411" s="140"/>
      <c r="AX411" s="140"/>
      <c r="AY411" s="140"/>
      <c r="AZ411" s="140"/>
      <c r="BA411" s="140"/>
      <c r="BB411" s="140"/>
      <c r="BC411" s="140"/>
      <c r="BD411" s="140"/>
      <c r="BE411" s="140"/>
    </row>
    <row r="412" s="119" customFormat="1" ht="96" customHeight="1" outlineLevel="2" spans="1:57">
      <c r="A412" s="162">
        <f>1+N(A411)</f>
        <v>1</v>
      </c>
      <c r="B412" s="14" t="s">
        <v>102</v>
      </c>
      <c r="C412" s="167" t="s">
        <v>103</v>
      </c>
      <c r="D412" s="142" t="s">
        <v>63</v>
      </c>
      <c r="E412" s="143">
        <v>10.54</v>
      </c>
      <c r="F412" s="143">
        <f>$F$28</f>
        <v>70</v>
      </c>
      <c r="G412" s="143">
        <f>$G$28</f>
        <v>0</v>
      </c>
      <c r="H412" s="143">
        <f>$H$28</f>
        <v>66.711</v>
      </c>
      <c r="I412" s="17">
        <f>(F412+G412+H412)*$I$3</f>
        <v>13.6711</v>
      </c>
      <c r="J412" s="18">
        <f>ROUND(SUM(F412:I412),2)</f>
        <v>150.38</v>
      </c>
      <c r="K412" s="19">
        <f>ROUND(J412*E412,2)</f>
        <v>1585.01</v>
      </c>
      <c r="L412" s="178"/>
      <c r="M412" s="139">
        <v>1</v>
      </c>
      <c r="N412" s="139"/>
      <c r="O412" s="139"/>
      <c r="P412" s="37">
        <f>Q412+Q412*R412+S412+T412+U412</f>
        <v>136.711</v>
      </c>
      <c r="Q412" s="99">
        <f>$Q$28</f>
        <v>0</v>
      </c>
      <c r="R412" s="163">
        <f>$R$28</f>
        <v>0.01</v>
      </c>
      <c r="S412" s="99">
        <f>$S$28</f>
        <v>70</v>
      </c>
      <c r="T412" s="99">
        <f>$T$28</f>
        <v>64.711</v>
      </c>
      <c r="U412" s="99">
        <f>$U$28</f>
        <v>2</v>
      </c>
      <c r="V412" s="37">
        <f>P412*E412</f>
        <v>1440.93394</v>
      </c>
      <c r="W412" s="139"/>
      <c r="X412" s="139"/>
      <c r="Y412" s="139"/>
      <c r="Z412" s="139"/>
      <c r="AA412" s="139"/>
      <c r="AB412" s="139"/>
      <c r="AC412" s="139"/>
      <c r="AD412" s="139"/>
      <c r="AE412" s="139"/>
      <c r="AF412" s="140"/>
      <c r="AG412" s="140"/>
      <c r="AH412" s="140"/>
      <c r="AI412" s="140"/>
      <c r="AJ412" s="140"/>
      <c r="AK412" s="140"/>
      <c r="AL412" s="140"/>
      <c r="AM412" s="140"/>
      <c r="AN412" s="140"/>
      <c r="AO412" s="140"/>
      <c r="AP412" s="140"/>
      <c r="AQ412" s="140"/>
      <c r="AR412" s="140"/>
      <c r="AS412" s="140"/>
      <c r="AT412" s="140"/>
      <c r="AU412" s="140"/>
      <c r="AV412" s="140"/>
      <c r="AW412" s="140"/>
      <c r="AX412" s="140"/>
      <c r="AY412" s="140"/>
      <c r="AZ412" s="140"/>
      <c r="BA412" s="140"/>
      <c r="BB412" s="140"/>
      <c r="BC412" s="140"/>
      <c r="BD412" s="140"/>
      <c r="BE412" s="140"/>
    </row>
    <row r="413" s="119" customFormat="1" ht="48" customHeight="1" outlineLevel="2" spans="1:57">
      <c r="A413" s="162">
        <f>1+N(A412)</f>
        <v>2</v>
      </c>
      <c r="B413" s="14" t="s">
        <v>104</v>
      </c>
      <c r="C413" s="167" t="s">
        <v>105</v>
      </c>
      <c r="D413" s="142" t="s">
        <v>70</v>
      </c>
      <c r="E413" s="143">
        <v>9.1</v>
      </c>
      <c r="F413" s="143">
        <f>$F$29</f>
        <v>50</v>
      </c>
      <c r="G413" s="143">
        <f>$G$29</f>
        <v>0</v>
      </c>
      <c r="H413" s="143">
        <f>$H$29</f>
        <v>22.0941</v>
      </c>
      <c r="I413" s="17">
        <f>(F413+G413+H413)*$I$3</f>
        <v>7.20941</v>
      </c>
      <c r="J413" s="18">
        <f>ROUND(SUM(F413:I413),2)</f>
        <v>79.3</v>
      </c>
      <c r="K413" s="19">
        <f>ROUND(J413*E413,2)</f>
        <v>721.63</v>
      </c>
      <c r="L413" s="178"/>
      <c r="M413" s="139">
        <v>1</v>
      </c>
      <c r="N413" s="139"/>
      <c r="O413" s="139"/>
      <c r="P413" s="37">
        <f>Q413+Q413*R413+S413+T413+U413</f>
        <v>72.0941</v>
      </c>
      <c r="Q413" s="99">
        <f>$Q$29</f>
        <v>0</v>
      </c>
      <c r="R413" s="163">
        <f>$R$29</f>
        <v>0.01</v>
      </c>
      <c r="S413" s="99">
        <f>$S$29</f>
        <v>50</v>
      </c>
      <c r="T413" s="99">
        <f>$T$29</f>
        <v>22.0941</v>
      </c>
      <c r="U413" s="99">
        <f>$U$29</f>
        <v>0</v>
      </c>
      <c r="V413" s="37">
        <f>P413*E413</f>
        <v>656.05631</v>
      </c>
      <c r="W413" s="139"/>
      <c r="X413" s="139"/>
      <c r="Y413" s="139"/>
      <c r="Z413" s="139"/>
      <c r="AA413" s="139"/>
      <c r="AB413" s="139"/>
      <c r="AC413" s="139"/>
      <c r="AD413" s="139"/>
      <c r="AE413" s="139"/>
      <c r="AF413" s="140"/>
      <c r="AG413" s="140"/>
      <c r="AH413" s="140"/>
      <c r="AI413" s="140"/>
      <c r="AJ413" s="140"/>
      <c r="AK413" s="140"/>
      <c r="AL413" s="140"/>
      <c r="AM413" s="140"/>
      <c r="AN413" s="140"/>
      <c r="AO413" s="140"/>
      <c r="AP413" s="140"/>
      <c r="AQ413" s="140"/>
      <c r="AR413" s="140"/>
      <c r="AS413" s="140"/>
      <c r="AT413" s="140"/>
      <c r="AU413" s="140"/>
      <c r="AV413" s="140"/>
      <c r="AW413" s="140"/>
      <c r="AX413" s="140"/>
      <c r="AY413" s="140"/>
      <c r="AZ413" s="140"/>
      <c r="BA413" s="140"/>
      <c r="BB413" s="140"/>
      <c r="BC413" s="140"/>
      <c r="BD413" s="140"/>
      <c r="BE413" s="140"/>
    </row>
    <row r="414" s="119" customFormat="1" ht="48" customHeight="1" outlineLevel="2" spans="1:57">
      <c r="A414" s="162">
        <f>1+N(A413)</f>
        <v>3</v>
      </c>
      <c r="B414" s="14" t="s">
        <v>106</v>
      </c>
      <c r="C414" s="167" t="s">
        <v>107</v>
      </c>
      <c r="D414" s="142" t="s">
        <v>70</v>
      </c>
      <c r="E414" s="143">
        <v>9.1</v>
      </c>
      <c r="F414" s="143">
        <f>$F$30</f>
        <v>18</v>
      </c>
      <c r="G414" s="143">
        <f>$G$30</f>
        <v>163.255</v>
      </c>
      <c r="H414" s="143">
        <f>$H$30</f>
        <v>3.8</v>
      </c>
      <c r="I414" s="17">
        <f>(F414+G414+H414)*$I$3</f>
        <v>18.5055</v>
      </c>
      <c r="J414" s="18">
        <f>ROUND(SUM(F414:I414),2)</f>
        <v>203.56</v>
      </c>
      <c r="K414" s="19">
        <f>ROUND(J414*E414,2)</f>
        <v>1852.4</v>
      </c>
      <c r="L414" s="178"/>
      <c r="M414" s="139">
        <v>1</v>
      </c>
      <c r="N414" s="139"/>
      <c r="O414" s="139"/>
      <c r="P414" s="37">
        <f>Q414+Q414*R414+S414+T414+U414</f>
        <v>185.055</v>
      </c>
      <c r="Q414" s="99">
        <f>$Q$30</f>
        <v>158.5</v>
      </c>
      <c r="R414" s="163">
        <f>$R$30</f>
        <v>0.03</v>
      </c>
      <c r="S414" s="99">
        <f>$S$30</f>
        <v>18</v>
      </c>
      <c r="T414" s="99">
        <f>$T$30</f>
        <v>3.5</v>
      </c>
      <c r="U414" s="99">
        <f>$U$30</f>
        <v>0.3</v>
      </c>
      <c r="V414" s="37">
        <f>P414*E414</f>
        <v>1684.0005</v>
      </c>
      <c r="W414" s="139"/>
      <c r="X414" s="139"/>
      <c r="Y414" s="139"/>
      <c r="Z414" s="139"/>
      <c r="AA414" s="139"/>
      <c r="AB414" s="139"/>
      <c r="AC414" s="139"/>
      <c r="AD414" s="139"/>
      <c r="AE414" s="139"/>
      <c r="AF414" s="140"/>
      <c r="AG414" s="140"/>
      <c r="AH414" s="140"/>
      <c r="AI414" s="140"/>
      <c r="AJ414" s="140"/>
      <c r="AK414" s="140"/>
      <c r="AL414" s="140"/>
      <c r="AM414" s="140"/>
      <c r="AN414" s="140"/>
      <c r="AO414" s="140"/>
      <c r="AP414" s="140"/>
      <c r="AQ414" s="140"/>
      <c r="AR414" s="140"/>
      <c r="AS414" s="140"/>
      <c r="AT414" s="140"/>
      <c r="AU414" s="140"/>
      <c r="AV414" s="140"/>
      <c r="AW414" s="140"/>
      <c r="AX414" s="140"/>
      <c r="AY414" s="140"/>
      <c r="AZ414" s="140"/>
      <c r="BA414" s="140"/>
      <c r="BB414" s="140"/>
      <c r="BC414" s="140"/>
      <c r="BD414" s="140"/>
      <c r="BE414" s="140"/>
    </row>
    <row r="415" s="119" customFormat="1" ht="72" customHeight="1" outlineLevel="2" spans="1:57">
      <c r="A415" s="162">
        <f>1+N(A414)</f>
        <v>4</v>
      </c>
      <c r="B415" s="14" t="s">
        <v>110</v>
      </c>
      <c r="C415" s="167" t="s">
        <v>111</v>
      </c>
      <c r="D415" s="142" t="s">
        <v>63</v>
      </c>
      <c r="E415" s="143">
        <f>10.54+9.1*0.3</f>
        <v>13.27</v>
      </c>
      <c r="F415" s="143">
        <f>$F$32</f>
        <v>45</v>
      </c>
      <c r="G415" s="143">
        <f>$G$32</f>
        <v>85.5</v>
      </c>
      <c r="H415" s="143">
        <f>$H$32</f>
        <v>7.3</v>
      </c>
      <c r="I415" s="17">
        <f>(F415+G415+H415)*$I$3</f>
        <v>13.78</v>
      </c>
      <c r="J415" s="18">
        <f>ROUND(SUM(F415:I415),2)</f>
        <v>151.58</v>
      </c>
      <c r="K415" s="19">
        <f>ROUND(J415*E415,2)</f>
        <v>2011.47</v>
      </c>
      <c r="L415" s="178"/>
      <c r="M415" s="139">
        <v>1</v>
      </c>
      <c r="N415" s="139"/>
      <c r="O415" s="139"/>
      <c r="P415" s="37">
        <f>Q415+Q415*R415+S415+T415+U415</f>
        <v>137.8</v>
      </c>
      <c r="Q415" s="99">
        <f>$Q$32</f>
        <v>85.5</v>
      </c>
      <c r="R415" s="163">
        <f>$R$32</f>
        <v>0</v>
      </c>
      <c r="S415" s="99">
        <f>$S$32</f>
        <v>45</v>
      </c>
      <c r="T415" s="99">
        <f>$T$32</f>
        <v>6.5</v>
      </c>
      <c r="U415" s="99">
        <f>$U$32</f>
        <v>0.8</v>
      </c>
      <c r="V415" s="37">
        <f>P415*E415</f>
        <v>1828.606</v>
      </c>
      <c r="W415" s="139"/>
      <c r="X415" s="139"/>
      <c r="Y415" s="139"/>
      <c r="Z415" s="139"/>
      <c r="AA415" s="139"/>
      <c r="AB415" s="139"/>
      <c r="AC415" s="139"/>
      <c r="AD415" s="139"/>
      <c r="AE415" s="139"/>
      <c r="AF415" s="140"/>
      <c r="AG415" s="140"/>
      <c r="AH415" s="140"/>
      <c r="AI415" s="140"/>
      <c r="AJ415" s="140"/>
      <c r="AK415" s="140"/>
      <c r="AL415" s="140"/>
      <c r="AM415" s="140"/>
      <c r="AN415" s="140"/>
      <c r="AO415" s="140"/>
      <c r="AP415" s="140"/>
      <c r="AQ415" s="140"/>
      <c r="AR415" s="140"/>
      <c r="AS415" s="140"/>
      <c r="AT415" s="140"/>
      <c r="AU415" s="140"/>
      <c r="AV415" s="140"/>
      <c r="AW415" s="140"/>
      <c r="AX415" s="140"/>
      <c r="AY415" s="140"/>
      <c r="AZ415" s="140"/>
      <c r="BA415" s="140"/>
      <c r="BB415" s="140"/>
      <c r="BC415" s="140"/>
      <c r="BD415" s="140"/>
      <c r="BE415" s="140"/>
    </row>
    <row r="416" s="119" customFormat="1" ht="24" customHeight="1" outlineLevel="1" spans="1:57">
      <c r="A416" s="141"/>
      <c r="B416" s="14" t="s">
        <v>112</v>
      </c>
      <c r="C416" s="15"/>
      <c r="D416" s="142"/>
      <c r="E416" s="143"/>
      <c r="F416" s="143"/>
      <c r="G416" s="143"/>
      <c r="H416" s="143"/>
      <c r="I416" s="143"/>
      <c r="J416" s="143"/>
      <c r="K416" s="144"/>
      <c r="L416" s="178"/>
      <c r="M416" s="139"/>
      <c r="N416" s="139"/>
      <c r="O416" s="139"/>
      <c r="P416" s="137"/>
      <c r="Q416" s="137"/>
      <c r="R416" s="138"/>
      <c r="S416" s="137"/>
      <c r="T416" s="137"/>
      <c r="U416" s="137"/>
      <c r="V416" s="137"/>
      <c r="W416" s="139"/>
      <c r="X416" s="139"/>
      <c r="Y416" s="139"/>
      <c r="Z416" s="139"/>
      <c r="AA416" s="139"/>
      <c r="AB416" s="139"/>
      <c r="AC416" s="139"/>
      <c r="AD416" s="139"/>
      <c r="AE416" s="139"/>
      <c r="AF416" s="140"/>
      <c r="AG416" s="140"/>
      <c r="AH416" s="140"/>
      <c r="AI416" s="140"/>
      <c r="AJ416" s="140"/>
      <c r="AK416" s="140"/>
      <c r="AL416" s="140"/>
      <c r="AM416" s="140"/>
      <c r="AN416" s="140"/>
      <c r="AO416" s="140"/>
      <c r="AP416" s="140"/>
      <c r="AQ416" s="140"/>
      <c r="AR416" s="140"/>
      <c r="AS416" s="140"/>
      <c r="AT416" s="140"/>
      <c r="AU416" s="140"/>
      <c r="AV416" s="140"/>
      <c r="AW416" s="140"/>
      <c r="AX416" s="140"/>
      <c r="AY416" s="140"/>
      <c r="AZ416" s="140"/>
      <c r="BA416" s="140"/>
      <c r="BB416" s="140"/>
      <c r="BC416" s="140"/>
      <c r="BD416" s="140"/>
      <c r="BE416" s="140"/>
    </row>
    <row r="417" s="119" customFormat="1" ht="36" customHeight="1" outlineLevel="2" spans="1:57">
      <c r="A417" s="162">
        <f>1+N(A416)</f>
        <v>1</v>
      </c>
      <c r="B417" s="14" t="s">
        <v>126</v>
      </c>
      <c r="C417" s="15" t="s">
        <v>114</v>
      </c>
      <c r="D417" s="142" t="s">
        <v>63</v>
      </c>
      <c r="E417" s="143">
        <f>0.65*2.4</f>
        <v>1.56</v>
      </c>
      <c r="F417" s="143">
        <f>$F$60</f>
        <v>165</v>
      </c>
      <c r="G417" s="143">
        <f>$G$60</f>
        <v>85</v>
      </c>
      <c r="H417" s="143">
        <f>$H$60</f>
        <v>355.1744</v>
      </c>
      <c r="I417" s="17">
        <f>(F417+G417+H417)*$I$3</f>
        <v>60.51744</v>
      </c>
      <c r="J417" s="18">
        <f>ROUND(SUM(F417:I417),2)</f>
        <v>665.69</v>
      </c>
      <c r="K417" s="19">
        <f>ROUND(J417*E417,2)</f>
        <v>1038.48</v>
      </c>
      <c r="L417" s="178"/>
      <c r="M417" s="139">
        <v>1</v>
      </c>
      <c r="N417" s="139"/>
      <c r="O417" s="139"/>
      <c r="P417" s="37">
        <f>Q417+Q417*R417+S417+T417+U417</f>
        <v>605.1744</v>
      </c>
      <c r="Q417" s="99">
        <f>$Q$60</f>
        <v>85</v>
      </c>
      <c r="R417" s="163">
        <f>$R$60</f>
        <v>0</v>
      </c>
      <c r="S417" s="99">
        <f>$S$60</f>
        <v>165</v>
      </c>
      <c r="T417" s="99">
        <f>$T$60</f>
        <v>353.6744</v>
      </c>
      <c r="U417" s="99">
        <f>$U$60</f>
        <v>1.5</v>
      </c>
      <c r="V417" s="37">
        <f>P417*E417</f>
        <v>944.072064</v>
      </c>
      <c r="W417" s="139"/>
      <c r="X417" s="139"/>
      <c r="Y417" s="139"/>
      <c r="Z417" s="139"/>
      <c r="AA417" s="139"/>
      <c r="AB417" s="139"/>
      <c r="AC417" s="139"/>
      <c r="AD417" s="139"/>
      <c r="AE417" s="139"/>
      <c r="AF417" s="140"/>
      <c r="AG417" s="140"/>
      <c r="AH417" s="140"/>
      <c r="AI417" s="140"/>
      <c r="AJ417" s="140"/>
      <c r="AK417" s="140"/>
      <c r="AL417" s="140"/>
      <c r="AM417" s="140"/>
      <c r="AN417" s="140"/>
      <c r="AO417" s="140"/>
      <c r="AP417" s="140"/>
      <c r="AQ417" s="140"/>
      <c r="AR417" s="140"/>
      <c r="AS417" s="140"/>
      <c r="AT417" s="140"/>
      <c r="AU417" s="140"/>
      <c r="AV417" s="140"/>
      <c r="AW417" s="140"/>
      <c r="AX417" s="140"/>
      <c r="AY417" s="140"/>
      <c r="AZ417" s="140"/>
      <c r="BA417" s="140"/>
      <c r="BB417" s="140"/>
      <c r="BC417" s="140"/>
      <c r="BD417" s="140"/>
      <c r="BE417" s="140"/>
    </row>
    <row r="418" s="119" customFormat="1" ht="24" customHeight="1" outlineLevel="1" spans="1:57">
      <c r="A418" s="132" t="s">
        <v>139</v>
      </c>
      <c r="B418" s="8" t="s">
        <v>243</v>
      </c>
      <c r="C418" s="8"/>
      <c r="D418" s="133"/>
      <c r="E418" s="134"/>
      <c r="F418" s="134"/>
      <c r="G418" s="134"/>
      <c r="H418" s="134"/>
      <c r="I418" s="134"/>
      <c r="J418" s="134"/>
      <c r="K418" s="11"/>
      <c r="L418" s="178"/>
      <c r="M418" s="139"/>
      <c r="N418" s="139"/>
      <c r="O418" s="170" t="str">
        <f>_xlfn.DISPIMG("ID_24328C5063D944AFA020B812A59D7790",1)</f>
        <v>=DISPIMG("ID_24328C5063D944AFA020B812A59D7790",1)</v>
      </c>
      <c r="P418" s="137"/>
      <c r="Q418" s="137"/>
      <c r="R418" s="138"/>
      <c r="S418" s="137"/>
      <c r="T418" s="137"/>
      <c r="U418" s="137"/>
      <c r="V418" s="137"/>
      <c r="W418" s="139"/>
      <c r="X418" s="139"/>
      <c r="Y418" s="139"/>
      <c r="Z418" s="139"/>
      <c r="AA418" s="139"/>
      <c r="AB418" s="139"/>
      <c r="AC418" s="139"/>
      <c r="AD418" s="139"/>
      <c r="AE418" s="139"/>
      <c r="AF418" s="140"/>
      <c r="AG418" s="140"/>
      <c r="AH418" s="140"/>
      <c r="AI418" s="140"/>
      <c r="AJ418" s="140"/>
      <c r="AK418" s="140"/>
      <c r="AL418" s="140"/>
      <c r="AM418" s="140"/>
      <c r="AN418" s="140"/>
      <c r="AO418" s="140"/>
      <c r="AP418" s="140"/>
      <c r="AQ418" s="140"/>
      <c r="AR418" s="140"/>
      <c r="AS418" s="140"/>
      <c r="AT418" s="140"/>
      <c r="AU418" s="140"/>
      <c r="AV418" s="140"/>
      <c r="AW418" s="140"/>
      <c r="AX418" s="140"/>
      <c r="AY418" s="140"/>
      <c r="AZ418" s="140"/>
      <c r="BA418" s="140"/>
      <c r="BB418" s="140"/>
      <c r="BC418" s="140"/>
      <c r="BD418" s="140"/>
      <c r="BE418" s="140"/>
    </row>
    <row r="419" s="119" customFormat="1" ht="24" customHeight="1" outlineLevel="1" spans="1:57">
      <c r="A419" s="141"/>
      <c r="B419" s="14" t="s">
        <v>60</v>
      </c>
      <c r="C419" s="15"/>
      <c r="D419" s="142"/>
      <c r="E419" s="143"/>
      <c r="F419" s="143"/>
      <c r="G419" s="143"/>
      <c r="H419" s="143"/>
      <c r="I419" s="143"/>
      <c r="J419" s="143"/>
      <c r="K419" s="144"/>
      <c r="L419" s="178"/>
      <c r="M419" s="139"/>
      <c r="N419" s="139"/>
      <c r="O419" s="139"/>
      <c r="P419" s="137"/>
      <c r="Q419" s="137"/>
      <c r="R419" s="138"/>
      <c r="S419" s="137"/>
      <c r="T419" s="137"/>
      <c r="U419" s="137"/>
      <c r="V419" s="137"/>
      <c r="W419" s="139"/>
      <c r="X419" s="139"/>
      <c r="Y419" s="139"/>
      <c r="Z419" s="139"/>
      <c r="AA419" s="139"/>
      <c r="AB419" s="139"/>
      <c r="AC419" s="139"/>
      <c r="AD419" s="139"/>
      <c r="AE419" s="139"/>
      <c r="AF419" s="140"/>
      <c r="AG419" s="140"/>
      <c r="AH419" s="140"/>
      <c r="AI419" s="140"/>
      <c r="AJ419" s="140"/>
      <c r="AK419" s="140"/>
      <c r="AL419" s="140"/>
      <c r="AM419" s="140"/>
      <c r="AN419" s="140"/>
      <c r="AO419" s="140"/>
      <c r="AP419" s="140"/>
      <c r="AQ419" s="140"/>
      <c r="AR419" s="140"/>
      <c r="AS419" s="140"/>
      <c r="AT419" s="140"/>
      <c r="AU419" s="140"/>
      <c r="AV419" s="140"/>
      <c r="AW419" s="140"/>
      <c r="AX419" s="140"/>
      <c r="AY419" s="140"/>
      <c r="AZ419" s="140"/>
      <c r="BA419" s="140"/>
      <c r="BB419" s="140"/>
      <c r="BC419" s="140"/>
      <c r="BD419" s="140"/>
      <c r="BE419" s="140"/>
    </row>
    <row r="420" s="119" customFormat="1" ht="96" customHeight="1" outlineLevel="2" spans="1:57">
      <c r="A420" s="162">
        <f>1+N(A419)</f>
        <v>1</v>
      </c>
      <c r="B420" s="14" t="s">
        <v>220</v>
      </c>
      <c r="C420" s="15" t="s">
        <v>221</v>
      </c>
      <c r="D420" s="142" t="s">
        <v>63</v>
      </c>
      <c r="E420" s="143">
        <v>1.75</v>
      </c>
      <c r="F420" s="143">
        <f>$F$339</f>
        <v>130</v>
      </c>
      <c r="G420" s="143">
        <f>$G$339</f>
        <v>628.3</v>
      </c>
      <c r="H420" s="17">
        <f>$H$339</f>
        <v>47.7</v>
      </c>
      <c r="I420" s="17">
        <f>(F420+G420+H420)*$I$3</f>
        <v>80.6</v>
      </c>
      <c r="J420" s="18">
        <f>ROUND(SUM(F420:I420),2)</f>
        <v>886.6</v>
      </c>
      <c r="K420" s="19">
        <f>ROUND(J420*E420,2)</f>
        <v>1551.55</v>
      </c>
      <c r="L420" s="178"/>
      <c r="M420" s="139">
        <v>1</v>
      </c>
      <c r="N420" s="139"/>
      <c r="O420" s="139"/>
      <c r="P420" s="37">
        <f>Q420+Q420*R420+S420+T420+U420</f>
        <v>806</v>
      </c>
      <c r="Q420" s="99">
        <f>$Q$339</f>
        <v>610</v>
      </c>
      <c r="R420" s="163">
        <f>$R$339</f>
        <v>0.03</v>
      </c>
      <c r="S420" s="99">
        <f>$S$339</f>
        <v>130</v>
      </c>
      <c r="T420" s="99">
        <f>$T$339</f>
        <v>46.2</v>
      </c>
      <c r="U420" s="99">
        <f>$U$339</f>
        <v>1.5</v>
      </c>
      <c r="V420" s="37">
        <f>P420*E420</f>
        <v>1410.5</v>
      </c>
      <c r="W420" s="139"/>
      <c r="X420" s="139"/>
      <c r="Y420" s="139"/>
      <c r="Z420" s="139"/>
      <c r="AA420" s="139"/>
      <c r="AB420" s="139"/>
      <c r="AC420" s="139"/>
      <c r="AD420" s="139"/>
      <c r="AE420" s="139"/>
      <c r="AF420" s="140"/>
      <c r="AG420" s="140"/>
      <c r="AH420" s="140"/>
      <c r="AI420" s="140"/>
      <c r="AJ420" s="140"/>
      <c r="AK420" s="140"/>
      <c r="AL420" s="140"/>
      <c r="AM420" s="140"/>
      <c r="AN420" s="140"/>
      <c r="AO420" s="140"/>
      <c r="AP420" s="140"/>
      <c r="AQ420" s="140"/>
      <c r="AR420" s="140"/>
      <c r="AS420" s="140"/>
      <c r="AT420" s="140"/>
      <c r="AU420" s="140"/>
      <c r="AV420" s="140"/>
      <c r="AW420" s="140"/>
      <c r="AX420" s="140"/>
      <c r="AY420" s="140"/>
      <c r="AZ420" s="140"/>
      <c r="BA420" s="140"/>
      <c r="BB420" s="140"/>
      <c r="BC420" s="140"/>
      <c r="BD420" s="140"/>
      <c r="BE420" s="140"/>
    </row>
    <row r="421" s="119" customFormat="1" ht="96" customHeight="1" outlineLevel="2" spans="1:57">
      <c r="A421" s="162">
        <f>1+N(A420)</f>
        <v>2</v>
      </c>
      <c r="B421" s="14" t="s">
        <v>166</v>
      </c>
      <c r="C421" s="15" t="s">
        <v>167</v>
      </c>
      <c r="D421" s="142" t="s">
        <v>63</v>
      </c>
      <c r="E421" s="143">
        <v>8.2</v>
      </c>
      <c r="F421" s="143">
        <f>$F$171</f>
        <v>80</v>
      </c>
      <c r="G421" s="143">
        <f>$G$171</f>
        <v>46.35</v>
      </c>
      <c r="H421" s="17">
        <f>$H$171</f>
        <v>50.6</v>
      </c>
      <c r="I421" s="17">
        <f>(F421+G421+H421)*$I$3</f>
        <v>17.695</v>
      </c>
      <c r="J421" s="18">
        <f>ROUND(SUM(F421:I421),2)</f>
        <v>194.65</v>
      </c>
      <c r="K421" s="19">
        <f>ROUND(J421*E421,2)</f>
        <v>1596.13</v>
      </c>
      <c r="L421" s="178"/>
      <c r="M421" s="139">
        <v>1</v>
      </c>
      <c r="N421" s="139"/>
      <c r="O421" s="139"/>
      <c r="P421" s="37">
        <f>Q421+Q421*R421+S421+T421+U421</f>
        <v>176.95</v>
      </c>
      <c r="Q421" s="99">
        <f>$Q$171</f>
        <v>45</v>
      </c>
      <c r="R421" s="163">
        <f>$R$171</f>
        <v>0.03</v>
      </c>
      <c r="S421" s="99">
        <f>$S$171</f>
        <v>80</v>
      </c>
      <c r="T421" s="99">
        <f>$T$171</f>
        <v>50.1</v>
      </c>
      <c r="U421" s="99">
        <f>$U$171</f>
        <v>0.5</v>
      </c>
      <c r="V421" s="37">
        <f>P421*E421</f>
        <v>1450.99</v>
      </c>
      <c r="W421" s="139"/>
      <c r="X421" s="139"/>
      <c r="Y421" s="139"/>
      <c r="Z421" s="139"/>
      <c r="AA421" s="139"/>
      <c r="AB421" s="139"/>
      <c r="AC421" s="139"/>
      <c r="AD421" s="139"/>
      <c r="AE421" s="139"/>
      <c r="AF421" s="140"/>
      <c r="AG421" s="140"/>
      <c r="AH421" s="140"/>
      <c r="AI421" s="140"/>
      <c r="AJ421" s="140"/>
      <c r="AK421" s="140"/>
      <c r="AL421" s="140"/>
      <c r="AM421" s="140"/>
      <c r="AN421" s="140"/>
      <c r="AO421" s="140"/>
      <c r="AP421" s="140"/>
      <c r="AQ421" s="140"/>
      <c r="AR421" s="140"/>
      <c r="AS421" s="140"/>
      <c r="AT421" s="140"/>
      <c r="AU421" s="140"/>
      <c r="AV421" s="140"/>
      <c r="AW421" s="140"/>
      <c r="AX421" s="140"/>
      <c r="AY421" s="140"/>
      <c r="AZ421" s="140"/>
      <c r="BA421" s="140"/>
      <c r="BB421" s="140"/>
      <c r="BC421" s="140"/>
      <c r="BD421" s="140"/>
      <c r="BE421" s="140"/>
    </row>
    <row r="422" s="119" customFormat="1" ht="96" customHeight="1" outlineLevel="2" spans="1:57">
      <c r="A422" s="162">
        <f>1+N(A421)</f>
        <v>3</v>
      </c>
      <c r="B422" s="14" t="s">
        <v>222</v>
      </c>
      <c r="C422" s="15" t="s">
        <v>223</v>
      </c>
      <c r="D422" s="142" t="s">
        <v>63</v>
      </c>
      <c r="E422" s="143">
        <v>7.5</v>
      </c>
      <c r="F422" s="143">
        <f>$F$341</f>
        <v>80</v>
      </c>
      <c r="G422" s="143">
        <f>$G$341</f>
        <v>226.6</v>
      </c>
      <c r="H422" s="17">
        <f>$H$341</f>
        <v>50.6</v>
      </c>
      <c r="I422" s="17">
        <f>(F422+G422+H422)*$I$3</f>
        <v>35.72</v>
      </c>
      <c r="J422" s="18">
        <f>ROUND(SUM(F422:I422),2)</f>
        <v>392.92</v>
      </c>
      <c r="K422" s="19">
        <f>ROUND(J422*E422,2)</f>
        <v>2946.9</v>
      </c>
      <c r="L422" s="178"/>
      <c r="M422" s="139">
        <v>1</v>
      </c>
      <c r="N422" s="139"/>
      <c r="O422" s="139"/>
      <c r="P422" s="37">
        <f>Q422+Q422*R422+S422+T422+U422</f>
        <v>357.2</v>
      </c>
      <c r="Q422" s="99">
        <f>$Q$341</f>
        <v>220</v>
      </c>
      <c r="R422" s="163">
        <f>$R$341</f>
        <v>0.03</v>
      </c>
      <c r="S422" s="99">
        <f>$S$341</f>
        <v>80</v>
      </c>
      <c r="T422" s="99">
        <f>$T$341</f>
        <v>50.1</v>
      </c>
      <c r="U422" s="99">
        <f>$U$341</f>
        <v>0.5</v>
      </c>
      <c r="V422" s="37">
        <f>P422*E422</f>
        <v>2679</v>
      </c>
      <c r="W422" s="139"/>
      <c r="X422" s="139"/>
      <c r="Y422" s="139"/>
      <c r="Z422" s="139"/>
      <c r="AA422" s="139"/>
      <c r="AB422" s="139"/>
      <c r="AC422" s="139"/>
      <c r="AD422" s="139"/>
      <c r="AE422" s="139"/>
      <c r="AF422" s="140"/>
      <c r="AG422" s="140"/>
      <c r="AH422" s="140"/>
      <c r="AI422" s="140"/>
      <c r="AJ422" s="140"/>
      <c r="AK422" s="140"/>
      <c r="AL422" s="140"/>
      <c r="AM422" s="140"/>
      <c r="AN422" s="140"/>
      <c r="AO422" s="140"/>
      <c r="AP422" s="140"/>
      <c r="AQ422" s="140"/>
      <c r="AR422" s="140"/>
      <c r="AS422" s="140"/>
      <c r="AT422" s="140"/>
      <c r="AU422" s="140"/>
      <c r="AV422" s="140"/>
      <c r="AW422" s="140"/>
      <c r="AX422" s="140"/>
      <c r="AY422" s="140"/>
      <c r="AZ422" s="140"/>
      <c r="BA422" s="140"/>
      <c r="BB422" s="140"/>
      <c r="BC422" s="140"/>
      <c r="BD422" s="140"/>
      <c r="BE422" s="140"/>
    </row>
    <row r="423" s="119" customFormat="1" ht="36" customHeight="1" outlineLevel="2" spans="1:57">
      <c r="A423" s="162">
        <f>1+N(A422)</f>
        <v>4</v>
      </c>
      <c r="B423" s="14" t="s">
        <v>68</v>
      </c>
      <c r="C423" s="15" t="s">
        <v>69</v>
      </c>
      <c r="D423" s="142" t="s">
        <v>70</v>
      </c>
      <c r="E423" s="143">
        <v>11.3</v>
      </c>
      <c r="F423" s="143">
        <f>$F$10</f>
        <v>12</v>
      </c>
      <c r="G423" s="143">
        <f>$G$10</f>
        <v>19.57</v>
      </c>
      <c r="H423" s="143">
        <f>$H$10</f>
        <v>0.5</v>
      </c>
      <c r="I423" s="17">
        <f>(F423+G423+H423)*$I$3</f>
        <v>3.207</v>
      </c>
      <c r="J423" s="18">
        <f>ROUND(SUM(F423:I423),2)</f>
        <v>35.28</v>
      </c>
      <c r="K423" s="19">
        <f>ROUND(J423*E423,2)</f>
        <v>398.66</v>
      </c>
      <c r="L423" s="178"/>
      <c r="M423" s="139">
        <v>1</v>
      </c>
      <c r="N423" s="139"/>
      <c r="O423" s="139"/>
      <c r="P423" s="37">
        <f>Q423+Q423*R423+S423+T423+U423</f>
        <v>32.07</v>
      </c>
      <c r="Q423" s="99">
        <f>$Q$10</f>
        <v>19</v>
      </c>
      <c r="R423" s="163">
        <f>$R$10</f>
        <v>0.03</v>
      </c>
      <c r="S423" s="99">
        <f>$S$10</f>
        <v>12</v>
      </c>
      <c r="T423" s="99">
        <f>$T$10</f>
        <v>0.3</v>
      </c>
      <c r="U423" s="99">
        <f>$U$10</f>
        <v>0.2</v>
      </c>
      <c r="V423" s="37">
        <f>P423*E423</f>
        <v>362.391</v>
      </c>
      <c r="W423" s="139"/>
      <c r="X423" s="139"/>
      <c r="Y423" s="139"/>
      <c r="Z423" s="139"/>
      <c r="AA423" s="139"/>
      <c r="AB423" s="139"/>
      <c r="AC423" s="139"/>
      <c r="AD423" s="139"/>
      <c r="AE423" s="139"/>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row>
    <row r="424" s="119" customFormat="1" ht="48" customHeight="1" outlineLevel="2" spans="1:57">
      <c r="A424" s="162">
        <f>1+N(A423)</f>
        <v>5</v>
      </c>
      <c r="B424" s="14" t="s">
        <v>71</v>
      </c>
      <c r="C424" s="15" t="s">
        <v>72</v>
      </c>
      <c r="D424" s="142" t="s">
        <v>63</v>
      </c>
      <c r="E424" s="143">
        <v>1.75</v>
      </c>
      <c r="F424" s="143">
        <f>$F$11</f>
        <v>40</v>
      </c>
      <c r="G424" s="143">
        <f>$G$11</f>
        <v>15</v>
      </c>
      <c r="H424" s="143">
        <f>$H$11</f>
        <v>0.8</v>
      </c>
      <c r="I424" s="17">
        <f>(F424+G424+H424)*$I$3</f>
        <v>5.58</v>
      </c>
      <c r="J424" s="18">
        <f>ROUND(SUM(F424:I424),2)</f>
        <v>61.38</v>
      </c>
      <c r="K424" s="19">
        <f>ROUND(J424*E424,2)</f>
        <v>107.42</v>
      </c>
      <c r="L424" s="178"/>
      <c r="M424" s="139">
        <v>1</v>
      </c>
      <c r="N424" s="139"/>
      <c r="O424" s="139"/>
      <c r="P424" s="37">
        <f>Q424+Q424*R424+S424+T424+U424</f>
        <v>55.8</v>
      </c>
      <c r="Q424" s="99">
        <f>$Q$11</f>
        <v>15</v>
      </c>
      <c r="R424" s="163">
        <f>$R$11</f>
        <v>0</v>
      </c>
      <c r="S424" s="99">
        <f>$S$11</f>
        <v>40</v>
      </c>
      <c r="T424" s="99">
        <f>$T$11</f>
        <v>0.5</v>
      </c>
      <c r="U424" s="99">
        <f>$U$11</f>
        <v>0.3</v>
      </c>
      <c r="V424" s="37">
        <f>P424*E424</f>
        <v>97.65</v>
      </c>
      <c r="W424" s="139"/>
      <c r="X424" s="139"/>
      <c r="Y424" s="139"/>
      <c r="Z424" s="139"/>
      <c r="AA424" s="139"/>
      <c r="AB424" s="139"/>
      <c r="AC424" s="139"/>
      <c r="AD424" s="139"/>
      <c r="AE424" s="139"/>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row>
    <row r="425" s="119" customFormat="1" ht="24" customHeight="1" outlineLevel="1" spans="1:57">
      <c r="A425" s="141"/>
      <c r="B425" s="14" t="s">
        <v>73</v>
      </c>
      <c r="C425" s="15"/>
      <c r="D425" s="142"/>
      <c r="E425" s="143"/>
      <c r="F425" s="143"/>
      <c r="G425" s="143"/>
      <c r="H425" s="143"/>
      <c r="I425" s="143"/>
      <c r="J425" s="143"/>
      <c r="K425" s="144"/>
      <c r="L425" s="178"/>
      <c r="M425" s="139"/>
      <c r="N425" s="139"/>
      <c r="O425" s="139"/>
      <c r="P425" s="137"/>
      <c r="Q425" s="137"/>
      <c r="R425" s="138"/>
      <c r="S425" s="137"/>
      <c r="T425" s="137"/>
      <c r="U425" s="137"/>
      <c r="V425" s="137"/>
      <c r="W425" s="139"/>
      <c r="X425" s="139"/>
      <c r="Y425" s="139"/>
      <c r="Z425" s="139"/>
      <c r="AA425" s="139"/>
      <c r="AB425" s="139"/>
      <c r="AC425" s="139"/>
      <c r="AD425" s="139"/>
      <c r="AE425" s="139"/>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row>
    <row r="426" s="119" customFormat="1" ht="60" customHeight="1" outlineLevel="2" spans="1:57">
      <c r="A426" s="162">
        <f t="shared" ref="A426:A437" si="102">1+N(A425)</f>
        <v>1</v>
      </c>
      <c r="B426" s="164" t="s">
        <v>224</v>
      </c>
      <c r="C426" s="15" t="s">
        <v>225</v>
      </c>
      <c r="D426" s="142" t="s">
        <v>63</v>
      </c>
      <c r="E426" s="143">
        <v>2.749</v>
      </c>
      <c r="F426" s="143">
        <f>$F$345</f>
        <v>35</v>
      </c>
      <c r="G426" s="143">
        <f>$G$345</f>
        <v>519.12</v>
      </c>
      <c r="H426" s="143">
        <f>$H$345</f>
        <v>54.7</v>
      </c>
      <c r="I426" s="17">
        <f t="shared" ref="I426:I437" si="103">(F426+G426+H426)*$I$3</f>
        <v>60.882</v>
      </c>
      <c r="J426" s="18">
        <f t="shared" ref="J426:J437" si="104">ROUND(SUM(F426:I426),2)</f>
        <v>669.7</v>
      </c>
      <c r="K426" s="19">
        <f t="shared" ref="K426:K437" si="105">ROUND(J426*E426,2)</f>
        <v>1841.01</v>
      </c>
      <c r="L426" s="178"/>
      <c r="M426" s="139">
        <v>1</v>
      </c>
      <c r="N426" s="139"/>
      <c r="O426" s="139"/>
      <c r="P426" s="37">
        <f t="shared" ref="P426:P437" si="106">Q426+Q426*R426+S426+T426+U426</f>
        <v>608.82</v>
      </c>
      <c r="Q426" s="99">
        <f>$Q$345</f>
        <v>504</v>
      </c>
      <c r="R426" s="163">
        <f>$R$345</f>
        <v>0.03</v>
      </c>
      <c r="S426" s="99">
        <f>$S$345</f>
        <v>35</v>
      </c>
      <c r="T426" s="99">
        <f>$T$345</f>
        <v>53.5</v>
      </c>
      <c r="U426" s="99">
        <f>$U$345</f>
        <v>1.2</v>
      </c>
      <c r="V426" s="37">
        <f t="shared" ref="V426:V437" si="107">P426*E426</f>
        <v>1673.64618</v>
      </c>
      <c r="W426" s="139"/>
      <c r="X426" s="139"/>
      <c r="Y426" s="139"/>
      <c r="Z426" s="139"/>
      <c r="AA426" s="139"/>
      <c r="AB426" s="139"/>
      <c r="AC426" s="139"/>
      <c r="AD426" s="139"/>
      <c r="AE426" s="139"/>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row>
    <row r="427" s="119" customFormat="1" ht="60" customHeight="1" outlineLevel="2" spans="1:57">
      <c r="A427" s="162">
        <f t="shared" si="102"/>
        <v>2</v>
      </c>
      <c r="B427" s="14" t="s">
        <v>226</v>
      </c>
      <c r="C427" s="15" t="s">
        <v>227</v>
      </c>
      <c r="D427" s="142" t="s">
        <v>63</v>
      </c>
      <c r="E427" s="143">
        <v>13.805</v>
      </c>
      <c r="F427" s="143">
        <f>$F$346</f>
        <v>35</v>
      </c>
      <c r="G427" s="143">
        <f>$G$346</f>
        <v>346.08</v>
      </c>
      <c r="H427" s="143">
        <f>$H$346</f>
        <v>54.7</v>
      </c>
      <c r="I427" s="17">
        <f t="shared" si="103"/>
        <v>43.578</v>
      </c>
      <c r="J427" s="18">
        <f t="shared" si="104"/>
        <v>479.36</v>
      </c>
      <c r="K427" s="19">
        <f t="shared" si="105"/>
        <v>6617.56</v>
      </c>
      <c r="L427" s="178"/>
      <c r="M427" s="139">
        <v>1</v>
      </c>
      <c r="N427" s="139"/>
      <c r="O427" s="139"/>
      <c r="P427" s="37">
        <f t="shared" si="106"/>
        <v>435.78</v>
      </c>
      <c r="Q427" s="99">
        <f>$Q$346</f>
        <v>336</v>
      </c>
      <c r="R427" s="163">
        <f>$R$346</f>
        <v>0.03</v>
      </c>
      <c r="S427" s="99">
        <f>$S$346</f>
        <v>35</v>
      </c>
      <c r="T427" s="99">
        <f>$T$346</f>
        <v>53.5</v>
      </c>
      <c r="U427" s="99">
        <f>$U$346</f>
        <v>1.2</v>
      </c>
      <c r="V427" s="37">
        <f t="shared" si="107"/>
        <v>6015.9429</v>
      </c>
      <c r="W427" s="139"/>
      <c r="X427" s="139"/>
      <c r="Y427" s="139"/>
      <c r="Z427" s="139"/>
      <c r="AA427" s="139"/>
      <c r="AB427" s="139"/>
      <c r="AC427" s="139"/>
      <c r="AD427" s="139"/>
      <c r="AE427" s="139"/>
      <c r="AF427" s="140"/>
      <c r="AG427" s="140"/>
      <c r="AH427" s="140"/>
      <c r="AI427" s="140"/>
      <c r="AJ427" s="140"/>
      <c r="AK427" s="140"/>
      <c r="AL427" s="140"/>
      <c r="AM427" s="140"/>
      <c r="AN427" s="140"/>
      <c r="AO427" s="140"/>
      <c r="AP427" s="140"/>
      <c r="AQ427" s="140"/>
      <c r="AR427" s="140"/>
      <c r="AS427" s="140"/>
      <c r="AT427" s="140"/>
      <c r="AU427" s="140"/>
      <c r="AV427" s="140"/>
      <c r="AW427" s="140"/>
      <c r="AX427" s="140"/>
      <c r="AY427" s="140"/>
      <c r="AZ427" s="140"/>
      <c r="BA427" s="140"/>
      <c r="BB427" s="140"/>
      <c r="BC427" s="140"/>
      <c r="BD427" s="140"/>
      <c r="BE427" s="140"/>
    </row>
    <row r="428" s="119" customFormat="1" ht="72" customHeight="1" outlineLevel="2" spans="1:57">
      <c r="A428" s="162">
        <f t="shared" si="102"/>
        <v>3</v>
      </c>
      <c r="B428" s="165" t="s">
        <v>228</v>
      </c>
      <c r="C428" s="15" t="s">
        <v>229</v>
      </c>
      <c r="D428" s="142" t="s">
        <v>63</v>
      </c>
      <c r="E428" s="143">
        <v>12.103</v>
      </c>
      <c r="F428" s="143">
        <f>$F$347</f>
        <v>110</v>
      </c>
      <c r="G428" s="143">
        <f>$G$347</f>
        <v>86.355</v>
      </c>
      <c r="H428" s="143">
        <f>$H$347</f>
        <v>56.797</v>
      </c>
      <c r="I428" s="17">
        <f t="shared" si="103"/>
        <v>25.3152</v>
      </c>
      <c r="J428" s="18">
        <f t="shared" si="104"/>
        <v>278.47</v>
      </c>
      <c r="K428" s="19">
        <f t="shared" si="105"/>
        <v>3370.32</v>
      </c>
      <c r="L428" s="178"/>
      <c r="M428" s="139">
        <v>1</v>
      </c>
      <c r="N428" s="139"/>
      <c r="O428" s="139"/>
      <c r="P428" s="37">
        <f t="shared" si="106"/>
        <v>253.152</v>
      </c>
      <c r="Q428" s="99">
        <f>$Q$347</f>
        <v>85.5</v>
      </c>
      <c r="R428" s="163">
        <f>$R$347</f>
        <v>0.01</v>
      </c>
      <c r="S428" s="99">
        <f>$S$347</f>
        <v>110</v>
      </c>
      <c r="T428" s="99">
        <f>$T$347</f>
        <v>55.997</v>
      </c>
      <c r="U428" s="99">
        <f>$U$347</f>
        <v>0.8</v>
      </c>
      <c r="V428" s="37">
        <f t="shared" si="107"/>
        <v>3063.898656</v>
      </c>
      <c r="W428" s="139"/>
      <c r="X428" s="139"/>
      <c r="Y428" s="139"/>
      <c r="Z428" s="139"/>
      <c r="AA428" s="139"/>
      <c r="AB428" s="139"/>
      <c r="AC428" s="139"/>
      <c r="AD428" s="139"/>
      <c r="AE428" s="139"/>
      <c r="AF428" s="140"/>
      <c r="AG428" s="140"/>
      <c r="AH428" s="140"/>
      <c r="AI428" s="140"/>
      <c r="AJ428" s="140"/>
      <c r="AK428" s="140"/>
      <c r="AL428" s="140"/>
      <c r="AM428" s="140"/>
      <c r="AN428" s="140"/>
      <c r="AO428" s="140"/>
      <c r="AP428" s="140"/>
      <c r="AQ428" s="140"/>
      <c r="AR428" s="140"/>
      <c r="AS428" s="140"/>
      <c r="AT428" s="140"/>
      <c r="AU428" s="140"/>
      <c r="AV428" s="140"/>
      <c r="AW428" s="140"/>
      <c r="AX428" s="140"/>
      <c r="AY428" s="140"/>
      <c r="AZ428" s="140"/>
      <c r="BA428" s="140"/>
      <c r="BB428" s="140"/>
      <c r="BC428" s="140"/>
      <c r="BD428" s="140"/>
      <c r="BE428" s="140"/>
    </row>
    <row r="429" s="119" customFormat="1" ht="60" customHeight="1" outlineLevel="2" spans="1:57">
      <c r="A429" s="162">
        <f t="shared" si="102"/>
        <v>4</v>
      </c>
      <c r="B429" s="165" t="s">
        <v>131</v>
      </c>
      <c r="C429" s="15" t="s">
        <v>230</v>
      </c>
      <c r="D429" s="142" t="s">
        <v>63</v>
      </c>
      <c r="E429" s="143">
        <f>0.355*2.4*2+0.375*0.25*3</f>
        <v>1.98525</v>
      </c>
      <c r="F429" s="143">
        <f>$F$348</f>
        <v>110</v>
      </c>
      <c r="G429" s="143">
        <f>$G$348</f>
        <v>454.5</v>
      </c>
      <c r="H429" s="143">
        <f>$H$348</f>
        <v>55.2</v>
      </c>
      <c r="I429" s="17">
        <f t="shared" si="103"/>
        <v>61.97</v>
      </c>
      <c r="J429" s="18">
        <f t="shared" si="104"/>
        <v>681.67</v>
      </c>
      <c r="K429" s="19">
        <f t="shared" si="105"/>
        <v>1353.29</v>
      </c>
      <c r="L429" s="178"/>
      <c r="M429" s="139">
        <v>1</v>
      </c>
      <c r="N429" s="139"/>
      <c r="O429" s="139"/>
      <c r="P429" s="37">
        <f t="shared" si="106"/>
        <v>619.7</v>
      </c>
      <c r="Q429" s="99">
        <f>$Q$348</f>
        <v>450</v>
      </c>
      <c r="R429" s="163">
        <f>$R$348</f>
        <v>0.01</v>
      </c>
      <c r="S429" s="99">
        <f>$S$348</f>
        <v>110</v>
      </c>
      <c r="T429" s="99">
        <f>$T$348</f>
        <v>54</v>
      </c>
      <c r="U429" s="99">
        <f>$U$348</f>
        <v>1.2</v>
      </c>
      <c r="V429" s="37">
        <f t="shared" si="107"/>
        <v>1230.259425</v>
      </c>
      <c r="W429" s="139"/>
      <c r="X429" s="139"/>
      <c r="Y429" s="139"/>
      <c r="Z429" s="139"/>
      <c r="AA429" s="139"/>
      <c r="AB429" s="139"/>
      <c r="AC429" s="139"/>
      <c r="AD429" s="139"/>
      <c r="AE429" s="139"/>
      <c r="AF429" s="140"/>
      <c r="AG429" s="140"/>
      <c r="AH429" s="140"/>
      <c r="AI429" s="140"/>
      <c r="AJ429" s="140"/>
      <c r="AK429" s="140"/>
      <c r="AL429" s="140"/>
      <c r="AM429" s="140"/>
      <c r="AN429" s="140"/>
      <c r="AO429" s="140"/>
      <c r="AP429" s="140"/>
      <c r="AQ429" s="140"/>
      <c r="AR429" s="140"/>
      <c r="AS429" s="140"/>
      <c r="AT429" s="140"/>
      <c r="AU429" s="140"/>
      <c r="AV429" s="140"/>
      <c r="AW429" s="140"/>
      <c r="AX429" s="140"/>
      <c r="AY429" s="140"/>
      <c r="AZ429" s="140"/>
      <c r="BA429" s="140"/>
      <c r="BB429" s="140"/>
      <c r="BC429" s="140"/>
      <c r="BD429" s="140"/>
      <c r="BE429" s="140"/>
    </row>
    <row r="430" s="119" customFormat="1" ht="60" customHeight="1" outlineLevel="2" spans="1:57">
      <c r="A430" s="162">
        <f t="shared" si="102"/>
        <v>5</v>
      </c>
      <c r="B430" s="165" t="s">
        <v>231</v>
      </c>
      <c r="C430" s="15" t="s">
        <v>232</v>
      </c>
      <c r="D430" s="142" t="s">
        <v>63</v>
      </c>
      <c r="E430" s="143">
        <f>0.133*2+(0.59-0.05)*3</f>
        <v>1.886</v>
      </c>
      <c r="F430" s="143">
        <f>$F$349</f>
        <v>110</v>
      </c>
      <c r="G430" s="143">
        <f>$G$349</f>
        <v>858.5</v>
      </c>
      <c r="H430" s="143">
        <f>$H$349</f>
        <v>55.2</v>
      </c>
      <c r="I430" s="17">
        <f t="shared" si="103"/>
        <v>102.37</v>
      </c>
      <c r="J430" s="18">
        <f t="shared" si="104"/>
        <v>1126.07</v>
      </c>
      <c r="K430" s="19">
        <f t="shared" si="105"/>
        <v>2123.77</v>
      </c>
      <c r="L430" s="178"/>
      <c r="M430" s="139">
        <v>1</v>
      </c>
      <c r="N430" s="139"/>
      <c r="O430" s="139"/>
      <c r="P430" s="37">
        <f t="shared" si="106"/>
        <v>1023.7</v>
      </c>
      <c r="Q430" s="99">
        <f>$Q$349</f>
        <v>850</v>
      </c>
      <c r="R430" s="163">
        <f>$R$349</f>
        <v>0.01</v>
      </c>
      <c r="S430" s="99">
        <f>$S$349</f>
        <v>110</v>
      </c>
      <c r="T430" s="99">
        <f>$T$349</f>
        <v>54</v>
      </c>
      <c r="U430" s="99">
        <f>$U$349</f>
        <v>1.2</v>
      </c>
      <c r="V430" s="37">
        <f t="shared" si="107"/>
        <v>1930.6982</v>
      </c>
      <c r="W430" s="139"/>
      <c r="X430" s="139"/>
      <c r="Y430" s="139"/>
      <c r="Z430" s="139"/>
      <c r="AA430" s="139"/>
      <c r="AB430" s="139"/>
      <c r="AC430" s="139"/>
      <c r="AD430" s="139"/>
      <c r="AE430" s="139"/>
      <c r="AF430" s="140"/>
      <c r="AG430" s="140"/>
      <c r="AH430" s="140"/>
      <c r="AI430" s="140"/>
      <c r="AJ430" s="140"/>
      <c r="AK430" s="140"/>
      <c r="AL430" s="140"/>
      <c r="AM430" s="140"/>
      <c r="AN430" s="140"/>
      <c r="AO430" s="140"/>
      <c r="AP430" s="140"/>
      <c r="AQ430" s="140"/>
      <c r="AR430" s="140"/>
      <c r="AS430" s="140"/>
      <c r="AT430" s="140"/>
      <c r="AU430" s="140"/>
      <c r="AV430" s="140"/>
      <c r="AW430" s="140"/>
      <c r="AX430" s="140"/>
      <c r="AY430" s="140"/>
      <c r="AZ430" s="140"/>
      <c r="BA430" s="140"/>
      <c r="BB430" s="140"/>
      <c r="BC430" s="140"/>
      <c r="BD430" s="140"/>
      <c r="BE430" s="140"/>
    </row>
    <row r="431" s="119" customFormat="1" ht="60" customHeight="1" outlineLevel="2" spans="1:57">
      <c r="A431" s="162">
        <f t="shared" si="102"/>
        <v>6</v>
      </c>
      <c r="B431" s="165" t="s">
        <v>233</v>
      </c>
      <c r="C431" s="15" t="s">
        <v>234</v>
      </c>
      <c r="D431" s="142" t="s">
        <v>63</v>
      </c>
      <c r="E431" s="143">
        <f>0.075*0.25*3</f>
        <v>0.05625</v>
      </c>
      <c r="F431" s="143">
        <f>$F$350</f>
        <v>150</v>
      </c>
      <c r="G431" s="143">
        <f>$G$350</f>
        <v>277.2</v>
      </c>
      <c r="H431" s="143">
        <f>$H$350</f>
        <v>94</v>
      </c>
      <c r="I431" s="17">
        <f t="shared" si="103"/>
        <v>52.12</v>
      </c>
      <c r="J431" s="18">
        <f t="shared" si="104"/>
        <v>573.32</v>
      </c>
      <c r="K431" s="19">
        <f t="shared" si="105"/>
        <v>32.25</v>
      </c>
      <c r="L431" s="178"/>
      <c r="M431" s="139">
        <v>1</v>
      </c>
      <c r="N431" s="139"/>
      <c r="O431" s="139"/>
      <c r="P431" s="37">
        <f t="shared" si="106"/>
        <v>521.2</v>
      </c>
      <c r="Q431" s="99">
        <f>$Q$350</f>
        <v>264</v>
      </c>
      <c r="R431" s="163">
        <f>$R$350</f>
        <v>0.05</v>
      </c>
      <c r="S431" s="99">
        <f>$S$350</f>
        <v>150</v>
      </c>
      <c r="T431" s="99">
        <f>$T$350</f>
        <v>92.5</v>
      </c>
      <c r="U431" s="99">
        <f>$U$350</f>
        <v>1.5</v>
      </c>
      <c r="V431" s="37">
        <f t="shared" si="107"/>
        <v>29.3175</v>
      </c>
      <c r="W431" s="139"/>
      <c r="X431" s="139"/>
      <c r="Y431" s="139"/>
      <c r="Z431" s="139"/>
      <c r="AA431" s="139"/>
      <c r="AB431" s="139"/>
      <c r="AC431" s="139"/>
      <c r="AD431" s="139"/>
      <c r="AE431" s="139"/>
      <c r="AF431" s="140"/>
      <c r="AG431" s="140"/>
      <c r="AH431" s="140"/>
      <c r="AI431" s="140"/>
      <c r="AJ431" s="140"/>
      <c r="AK431" s="140"/>
      <c r="AL431" s="140"/>
      <c r="AM431" s="140"/>
      <c r="AN431" s="140"/>
      <c r="AO431" s="140"/>
      <c r="AP431" s="140"/>
      <c r="AQ431" s="140"/>
      <c r="AR431" s="140"/>
      <c r="AS431" s="140"/>
      <c r="AT431" s="140"/>
      <c r="AU431" s="140"/>
      <c r="AV431" s="140"/>
      <c r="AW431" s="140"/>
      <c r="AX431" s="140"/>
      <c r="AY431" s="140"/>
      <c r="AZ431" s="140"/>
      <c r="BA431" s="140"/>
      <c r="BB431" s="140"/>
      <c r="BC431" s="140"/>
      <c r="BD431" s="140"/>
      <c r="BE431" s="140"/>
    </row>
    <row r="432" s="119" customFormat="1" ht="60" customHeight="1" outlineLevel="2" spans="1:57">
      <c r="A432" s="162">
        <f t="shared" si="102"/>
        <v>7</v>
      </c>
      <c r="B432" s="165" t="s">
        <v>85</v>
      </c>
      <c r="C432" s="166" t="s">
        <v>86</v>
      </c>
      <c r="D432" s="165" t="s">
        <v>63</v>
      </c>
      <c r="E432" s="143">
        <f>+(0.308+0.074)*0.95*2</f>
        <v>0.7258</v>
      </c>
      <c r="F432" s="143">
        <f>$F$19</f>
        <v>110</v>
      </c>
      <c r="G432" s="143">
        <f>$G$19</f>
        <v>454.5</v>
      </c>
      <c r="H432" s="143">
        <f>$H$19</f>
        <v>55.2</v>
      </c>
      <c r="I432" s="17">
        <f t="shared" si="103"/>
        <v>61.97</v>
      </c>
      <c r="J432" s="18">
        <f t="shared" si="104"/>
        <v>681.67</v>
      </c>
      <c r="K432" s="19">
        <f t="shared" si="105"/>
        <v>494.76</v>
      </c>
      <c r="L432" s="178"/>
      <c r="M432" s="139">
        <v>1</v>
      </c>
      <c r="N432" s="139"/>
      <c r="O432" s="139"/>
      <c r="P432" s="37">
        <f t="shared" si="106"/>
        <v>619.7</v>
      </c>
      <c r="Q432" s="99">
        <f>$Q$19</f>
        <v>450</v>
      </c>
      <c r="R432" s="163">
        <f>$R$19</f>
        <v>0.01</v>
      </c>
      <c r="S432" s="99">
        <f>$S$19</f>
        <v>110</v>
      </c>
      <c r="T432" s="99">
        <f>$T$19</f>
        <v>54</v>
      </c>
      <c r="U432" s="99">
        <f>$U$19</f>
        <v>1.2</v>
      </c>
      <c r="V432" s="37">
        <f t="shared" si="107"/>
        <v>449.77826</v>
      </c>
      <c r="W432" s="139"/>
      <c r="X432" s="139"/>
      <c r="Y432" s="139"/>
      <c r="Z432" s="139"/>
      <c r="AA432" s="139"/>
      <c r="AB432" s="139"/>
      <c r="AC432" s="139"/>
      <c r="AD432" s="139"/>
      <c r="AE432" s="139"/>
      <c r="AF432" s="140"/>
      <c r="AG432" s="140"/>
      <c r="AH432" s="140"/>
      <c r="AI432" s="140"/>
      <c r="AJ432" s="140"/>
      <c r="AK432" s="140"/>
      <c r="AL432" s="140"/>
      <c r="AM432" s="140"/>
      <c r="AN432" s="140"/>
      <c r="AO432" s="140"/>
      <c r="AP432" s="140"/>
      <c r="AQ432" s="140"/>
      <c r="AR432" s="140"/>
      <c r="AS432" s="140"/>
      <c r="AT432" s="140"/>
      <c r="AU432" s="140"/>
      <c r="AV432" s="140"/>
      <c r="AW432" s="140"/>
      <c r="AX432" s="140"/>
      <c r="AY432" s="140"/>
      <c r="AZ432" s="140"/>
      <c r="BA432" s="140"/>
      <c r="BB432" s="140"/>
      <c r="BC432" s="140"/>
      <c r="BD432" s="140"/>
      <c r="BE432" s="140"/>
    </row>
    <row r="433" s="119" customFormat="1" ht="48" customHeight="1" outlineLevel="2" spans="1:57">
      <c r="A433" s="162">
        <f t="shared" si="102"/>
        <v>8</v>
      </c>
      <c r="B433" s="165" t="s">
        <v>91</v>
      </c>
      <c r="C433" s="166" t="s">
        <v>92</v>
      </c>
      <c r="D433" s="165" t="s">
        <v>70</v>
      </c>
      <c r="E433" s="143">
        <v>14.641</v>
      </c>
      <c r="F433" s="143">
        <f>$F$22</f>
        <v>12</v>
      </c>
      <c r="G433" s="143">
        <f>$G$22</f>
        <v>25.75</v>
      </c>
      <c r="H433" s="143">
        <f>$H$22</f>
        <v>3.8</v>
      </c>
      <c r="I433" s="17">
        <f t="shared" si="103"/>
        <v>4.155</v>
      </c>
      <c r="J433" s="18">
        <f t="shared" si="104"/>
        <v>45.71</v>
      </c>
      <c r="K433" s="19">
        <f t="shared" si="105"/>
        <v>669.24</v>
      </c>
      <c r="L433" s="178"/>
      <c r="M433" s="139">
        <v>1</v>
      </c>
      <c r="N433" s="139"/>
      <c r="O433" s="139"/>
      <c r="P433" s="37">
        <f t="shared" si="106"/>
        <v>41.55</v>
      </c>
      <c r="Q433" s="99">
        <f>$Q$22</f>
        <v>25</v>
      </c>
      <c r="R433" s="163">
        <f>$R$22</f>
        <v>0.03</v>
      </c>
      <c r="S433" s="99">
        <f>$S$22</f>
        <v>12</v>
      </c>
      <c r="T433" s="99">
        <f>$T$22</f>
        <v>3.5</v>
      </c>
      <c r="U433" s="99">
        <f>$U$22</f>
        <v>0.3</v>
      </c>
      <c r="V433" s="37">
        <f t="shared" si="107"/>
        <v>608.33355</v>
      </c>
      <c r="W433" s="139"/>
      <c r="X433" s="139"/>
      <c r="Y433" s="139"/>
      <c r="Z433" s="139"/>
      <c r="AA433" s="139"/>
      <c r="AB433" s="139"/>
      <c r="AC433" s="139"/>
      <c r="AD433" s="139"/>
      <c r="AE433" s="139"/>
      <c r="AF433" s="140"/>
      <c r="AG433" s="140"/>
      <c r="AH433" s="140"/>
      <c r="AI433" s="140"/>
      <c r="AJ433" s="140"/>
      <c r="AK433" s="140"/>
      <c r="AL433" s="140"/>
      <c r="AM433" s="140"/>
      <c r="AN433" s="140"/>
      <c r="AO433" s="140"/>
      <c r="AP433" s="140"/>
      <c r="AQ433" s="140"/>
      <c r="AR433" s="140"/>
      <c r="AS433" s="140"/>
      <c r="AT433" s="140"/>
      <c r="AU433" s="140"/>
      <c r="AV433" s="140"/>
      <c r="AW433" s="140"/>
      <c r="AX433" s="140"/>
      <c r="AY433" s="140"/>
      <c r="AZ433" s="140"/>
      <c r="BA433" s="140"/>
      <c r="BB433" s="140"/>
      <c r="BC433" s="140"/>
      <c r="BD433" s="140"/>
      <c r="BE433" s="140"/>
    </row>
    <row r="434" s="119" customFormat="1" ht="36" customHeight="1" outlineLevel="2" spans="1:57">
      <c r="A434" s="162">
        <f t="shared" si="102"/>
        <v>9</v>
      </c>
      <c r="B434" s="165" t="s">
        <v>235</v>
      </c>
      <c r="C434" s="166" t="s">
        <v>236</v>
      </c>
      <c r="D434" s="165" t="s">
        <v>70</v>
      </c>
      <c r="E434" s="143">
        <f>3.95*2+5.22*3</f>
        <v>23.56</v>
      </c>
      <c r="F434" s="143">
        <f>$F$353</f>
        <v>15</v>
      </c>
      <c r="G434" s="143">
        <f>$G$353</f>
        <v>18.7975</v>
      </c>
      <c r="H434" s="143">
        <f>$H$353</f>
        <v>3.8</v>
      </c>
      <c r="I434" s="17">
        <f t="shared" si="103"/>
        <v>3.75975</v>
      </c>
      <c r="J434" s="18">
        <f t="shared" si="104"/>
        <v>41.36</v>
      </c>
      <c r="K434" s="19">
        <f t="shared" si="105"/>
        <v>974.44</v>
      </c>
      <c r="L434" s="178"/>
      <c r="M434" s="139">
        <v>1</v>
      </c>
      <c r="N434" s="139"/>
      <c r="O434" s="139"/>
      <c r="P434" s="37">
        <f t="shared" si="106"/>
        <v>37.5975</v>
      </c>
      <c r="Q434" s="99">
        <f>$Q$353</f>
        <v>18.25</v>
      </c>
      <c r="R434" s="163">
        <f>$R$353</f>
        <v>0.03</v>
      </c>
      <c r="S434" s="99">
        <f>$S$353</f>
        <v>15</v>
      </c>
      <c r="T434" s="99">
        <f>$T$353</f>
        <v>3.5</v>
      </c>
      <c r="U434" s="99">
        <f>$U$353</f>
        <v>0.3</v>
      </c>
      <c r="V434" s="37">
        <f t="shared" si="107"/>
        <v>885.7971</v>
      </c>
      <c r="W434" s="139"/>
      <c r="X434" s="139"/>
      <c r="Y434" s="139"/>
      <c r="Z434" s="139"/>
      <c r="AA434" s="139"/>
      <c r="AB434" s="139"/>
      <c r="AC434" s="139"/>
      <c r="AD434" s="139"/>
      <c r="AE434" s="139"/>
      <c r="AF434" s="140"/>
      <c r="AG434" s="140"/>
      <c r="AH434" s="140"/>
      <c r="AI434" s="140"/>
      <c r="AJ434" s="140"/>
      <c r="AK434" s="140"/>
      <c r="AL434" s="140"/>
      <c r="AM434" s="140"/>
      <c r="AN434" s="140"/>
      <c r="AO434" s="140"/>
      <c r="AP434" s="140"/>
      <c r="AQ434" s="140"/>
      <c r="AR434" s="140"/>
      <c r="AS434" s="140"/>
      <c r="AT434" s="140"/>
      <c r="AU434" s="140"/>
      <c r="AV434" s="140"/>
      <c r="AW434" s="140"/>
      <c r="AX434" s="140"/>
      <c r="AY434" s="140"/>
      <c r="AZ434" s="140"/>
      <c r="BA434" s="140"/>
      <c r="BB434" s="140"/>
      <c r="BC434" s="140"/>
      <c r="BD434" s="140"/>
      <c r="BE434" s="140"/>
    </row>
    <row r="435" s="119" customFormat="1" ht="36" customHeight="1" outlineLevel="2" spans="1:57">
      <c r="A435" s="162">
        <f t="shared" si="102"/>
        <v>10</v>
      </c>
      <c r="B435" s="165" t="s">
        <v>237</v>
      </c>
      <c r="C435" s="166" t="s">
        <v>238</v>
      </c>
      <c r="D435" s="165" t="s">
        <v>70</v>
      </c>
      <c r="E435" s="143">
        <v>6.11</v>
      </c>
      <c r="F435" s="143">
        <f>$F$354</f>
        <v>15</v>
      </c>
      <c r="G435" s="143">
        <f>$G$354</f>
        <v>18.7975</v>
      </c>
      <c r="H435" s="143">
        <f>$H$354</f>
        <v>3.8</v>
      </c>
      <c r="I435" s="17">
        <f t="shared" si="103"/>
        <v>3.75975</v>
      </c>
      <c r="J435" s="18">
        <f t="shared" si="104"/>
        <v>41.36</v>
      </c>
      <c r="K435" s="19">
        <f t="shared" si="105"/>
        <v>252.71</v>
      </c>
      <c r="L435" s="178"/>
      <c r="M435" s="139">
        <v>1</v>
      </c>
      <c r="N435" s="139"/>
      <c r="O435" s="139"/>
      <c r="P435" s="37">
        <f t="shared" si="106"/>
        <v>37.5975</v>
      </c>
      <c r="Q435" s="99">
        <f>$Q$354</f>
        <v>18.25</v>
      </c>
      <c r="R435" s="163">
        <f>$R$354</f>
        <v>0.03</v>
      </c>
      <c r="S435" s="99">
        <f>$S$354</f>
        <v>15</v>
      </c>
      <c r="T435" s="99">
        <f>$T$354</f>
        <v>3.5</v>
      </c>
      <c r="U435" s="99">
        <f>$U$354</f>
        <v>0.3</v>
      </c>
      <c r="V435" s="37">
        <f t="shared" si="107"/>
        <v>229.720725</v>
      </c>
      <c r="W435" s="139"/>
      <c r="X435" s="139"/>
      <c r="Y435" s="139"/>
      <c r="Z435" s="139"/>
      <c r="AA435" s="139"/>
      <c r="AB435" s="139"/>
      <c r="AC435" s="139"/>
      <c r="AD435" s="139"/>
      <c r="AE435" s="139"/>
      <c r="AF435" s="140"/>
      <c r="AG435" s="140"/>
      <c r="AH435" s="140"/>
      <c r="AI435" s="140"/>
      <c r="AJ435" s="140"/>
      <c r="AK435" s="140"/>
      <c r="AL435" s="140"/>
      <c r="AM435" s="140"/>
      <c r="AN435" s="140"/>
      <c r="AO435" s="140"/>
      <c r="AP435" s="140"/>
      <c r="AQ435" s="140"/>
      <c r="AR435" s="140"/>
      <c r="AS435" s="140"/>
      <c r="AT435" s="140"/>
      <c r="AU435" s="140"/>
      <c r="AV435" s="140"/>
      <c r="AW435" s="140"/>
      <c r="AX435" s="140"/>
      <c r="AY435" s="140"/>
      <c r="AZ435" s="140"/>
      <c r="BA435" s="140"/>
      <c r="BB435" s="140"/>
      <c r="BC435" s="140"/>
      <c r="BD435" s="140"/>
      <c r="BE435" s="140"/>
    </row>
    <row r="436" s="119" customFormat="1" ht="48" customHeight="1" outlineLevel="2" spans="1:57">
      <c r="A436" s="162">
        <f t="shared" si="102"/>
        <v>11</v>
      </c>
      <c r="B436" s="165" t="s">
        <v>99</v>
      </c>
      <c r="C436" s="166" t="s">
        <v>100</v>
      </c>
      <c r="D436" s="165" t="s">
        <v>70</v>
      </c>
      <c r="E436" s="143">
        <v>14.641</v>
      </c>
      <c r="F436" s="143">
        <f>$F$26</f>
        <v>12</v>
      </c>
      <c r="G436" s="143">
        <f>$G$26</f>
        <v>23.4325</v>
      </c>
      <c r="H436" s="143">
        <f>$H$26</f>
        <v>3.8</v>
      </c>
      <c r="I436" s="17">
        <f t="shared" si="103"/>
        <v>3.92325</v>
      </c>
      <c r="J436" s="18">
        <f t="shared" si="104"/>
        <v>43.16</v>
      </c>
      <c r="K436" s="19">
        <f t="shared" si="105"/>
        <v>631.91</v>
      </c>
      <c r="L436" s="178"/>
      <c r="M436" s="139">
        <v>1</v>
      </c>
      <c r="N436" s="139"/>
      <c r="O436" s="139"/>
      <c r="P436" s="37">
        <f t="shared" si="106"/>
        <v>39.2325</v>
      </c>
      <c r="Q436" s="99">
        <f>$Q$26</f>
        <v>22.75</v>
      </c>
      <c r="R436" s="163">
        <f>$R$26</f>
        <v>0.03</v>
      </c>
      <c r="S436" s="99">
        <f>$S$26</f>
        <v>12</v>
      </c>
      <c r="T436" s="99">
        <f>$T$26</f>
        <v>3.5</v>
      </c>
      <c r="U436" s="99">
        <f>$U$26</f>
        <v>0.3</v>
      </c>
      <c r="V436" s="37">
        <f t="shared" si="107"/>
        <v>574.4030325</v>
      </c>
      <c r="W436" s="139"/>
      <c r="X436" s="139"/>
      <c r="Y436" s="139"/>
      <c r="Z436" s="139"/>
      <c r="AA436" s="139"/>
      <c r="AB436" s="139"/>
      <c r="AC436" s="139"/>
      <c r="AD436" s="139"/>
      <c r="AE436" s="139"/>
      <c r="AF436" s="140"/>
      <c r="AG436" s="140"/>
      <c r="AH436" s="140"/>
      <c r="AI436" s="140"/>
      <c r="AJ436" s="140"/>
      <c r="AK436" s="140"/>
      <c r="AL436" s="140"/>
      <c r="AM436" s="140"/>
      <c r="AN436" s="140"/>
      <c r="AO436" s="140"/>
      <c r="AP436" s="140"/>
      <c r="AQ436" s="140"/>
      <c r="AR436" s="140"/>
      <c r="AS436" s="140"/>
      <c r="AT436" s="140"/>
      <c r="AU436" s="140"/>
      <c r="AV436" s="140"/>
      <c r="AW436" s="140"/>
      <c r="AX436" s="140"/>
      <c r="AY436" s="140"/>
      <c r="AZ436" s="140"/>
      <c r="BA436" s="140"/>
      <c r="BB436" s="140"/>
      <c r="BC436" s="140"/>
      <c r="BD436" s="140"/>
      <c r="BE436" s="140"/>
    </row>
    <row r="437" s="119" customFormat="1" ht="36" customHeight="1" outlineLevel="2" spans="1:57">
      <c r="A437" s="162">
        <f t="shared" si="102"/>
        <v>12</v>
      </c>
      <c r="B437" s="165" t="s">
        <v>239</v>
      </c>
      <c r="C437" s="166" t="s">
        <v>240</v>
      </c>
      <c r="D437" s="165" t="s">
        <v>63</v>
      </c>
      <c r="E437" s="143">
        <f>5.99*2*0.095</f>
        <v>1.1381</v>
      </c>
      <c r="F437" s="143">
        <f>$F$356</f>
        <v>110</v>
      </c>
      <c r="G437" s="143">
        <f>$G$356</f>
        <v>454.5</v>
      </c>
      <c r="H437" s="143">
        <f>$H$356</f>
        <v>55.2</v>
      </c>
      <c r="I437" s="17">
        <f t="shared" si="103"/>
        <v>61.97</v>
      </c>
      <c r="J437" s="18">
        <f t="shared" si="104"/>
        <v>681.67</v>
      </c>
      <c r="K437" s="19">
        <f t="shared" si="105"/>
        <v>775.81</v>
      </c>
      <c r="L437" s="178"/>
      <c r="M437" s="139">
        <v>1</v>
      </c>
      <c r="N437" s="139"/>
      <c r="O437" s="139"/>
      <c r="P437" s="37">
        <f t="shared" si="106"/>
        <v>619.7</v>
      </c>
      <c r="Q437" s="99">
        <f>$Q$356</f>
        <v>450</v>
      </c>
      <c r="R437" s="163">
        <f>$R$356</f>
        <v>0.01</v>
      </c>
      <c r="S437" s="99">
        <f>$S$356</f>
        <v>110</v>
      </c>
      <c r="T437" s="99">
        <f>$T$356</f>
        <v>54</v>
      </c>
      <c r="U437" s="99">
        <f>$U$356</f>
        <v>1.2</v>
      </c>
      <c r="V437" s="37">
        <f t="shared" si="107"/>
        <v>705.28057</v>
      </c>
      <c r="W437" s="139"/>
      <c r="X437" s="139"/>
      <c r="Y437" s="139"/>
      <c r="Z437" s="139"/>
      <c r="AA437" s="139"/>
      <c r="AB437" s="139"/>
      <c r="AC437" s="139"/>
      <c r="AD437" s="139"/>
      <c r="AE437" s="139"/>
      <c r="AF437" s="140"/>
      <c r="AG437" s="140"/>
      <c r="AH437" s="140"/>
      <c r="AI437" s="140"/>
      <c r="AJ437" s="140"/>
      <c r="AK437" s="140"/>
      <c r="AL437" s="140"/>
      <c r="AM437" s="140"/>
      <c r="AN437" s="140"/>
      <c r="AO437" s="140"/>
      <c r="AP437" s="140"/>
      <c r="AQ437" s="140"/>
      <c r="AR437" s="140"/>
      <c r="AS437" s="140"/>
      <c r="AT437" s="140"/>
      <c r="AU437" s="140"/>
      <c r="AV437" s="140"/>
      <c r="AW437" s="140"/>
      <c r="AX437" s="140"/>
      <c r="AY437" s="140"/>
      <c r="AZ437" s="140"/>
      <c r="BA437" s="140"/>
      <c r="BB437" s="140"/>
      <c r="BC437" s="140"/>
      <c r="BD437" s="140"/>
      <c r="BE437" s="140"/>
    </row>
    <row r="438" s="119" customFormat="1" ht="24" customHeight="1" outlineLevel="1" spans="1:57">
      <c r="A438" s="141"/>
      <c r="B438" s="14" t="s">
        <v>101</v>
      </c>
      <c r="C438" s="15"/>
      <c r="D438" s="142"/>
      <c r="E438" s="143"/>
      <c r="F438" s="143"/>
      <c r="G438" s="143"/>
      <c r="H438" s="143"/>
      <c r="I438" s="143"/>
      <c r="J438" s="143"/>
      <c r="K438" s="144"/>
      <c r="L438" s="178"/>
      <c r="M438" s="139"/>
      <c r="N438" s="139"/>
      <c r="O438" s="139"/>
      <c r="P438" s="137"/>
      <c r="Q438" s="137"/>
      <c r="R438" s="138"/>
      <c r="S438" s="137"/>
      <c r="T438" s="137"/>
      <c r="U438" s="137"/>
      <c r="V438" s="137"/>
      <c r="W438" s="139"/>
      <c r="X438" s="139"/>
      <c r="Y438" s="139"/>
      <c r="Z438" s="139"/>
      <c r="AA438" s="139"/>
      <c r="AB438" s="139"/>
      <c r="AC438" s="139"/>
      <c r="AD438" s="139"/>
      <c r="AE438" s="139"/>
      <c r="AF438" s="140"/>
      <c r="AG438" s="140"/>
      <c r="AH438" s="140"/>
      <c r="AI438" s="140"/>
      <c r="AJ438" s="140"/>
      <c r="AK438" s="140"/>
      <c r="AL438" s="140"/>
      <c r="AM438" s="140"/>
      <c r="AN438" s="140"/>
      <c r="AO438" s="140"/>
      <c r="AP438" s="140"/>
      <c r="AQ438" s="140"/>
      <c r="AR438" s="140"/>
      <c r="AS438" s="140"/>
      <c r="AT438" s="140"/>
      <c r="AU438" s="140"/>
      <c r="AV438" s="140"/>
      <c r="AW438" s="140"/>
      <c r="AX438" s="140"/>
      <c r="AY438" s="140"/>
      <c r="AZ438" s="140"/>
      <c r="BA438" s="140"/>
      <c r="BB438" s="140"/>
      <c r="BC438" s="140"/>
      <c r="BD438" s="140"/>
      <c r="BE438" s="140"/>
    </row>
    <row r="439" s="119" customFormat="1" ht="96" customHeight="1" outlineLevel="2" spans="1:57">
      <c r="A439" s="162">
        <f>1+N(A438)</f>
        <v>1</v>
      </c>
      <c r="B439" s="14" t="s">
        <v>102</v>
      </c>
      <c r="C439" s="167" t="s">
        <v>103</v>
      </c>
      <c r="D439" s="142" t="s">
        <v>63</v>
      </c>
      <c r="E439" s="143">
        <v>15.7</v>
      </c>
      <c r="F439" s="143">
        <f>$F$28</f>
        <v>70</v>
      </c>
      <c r="G439" s="143">
        <f>$G$28</f>
        <v>0</v>
      </c>
      <c r="H439" s="143">
        <f>$H$28</f>
        <v>66.711</v>
      </c>
      <c r="I439" s="17">
        <f>(F439+G439+H439)*$I$3</f>
        <v>13.6711</v>
      </c>
      <c r="J439" s="18">
        <f>ROUND(SUM(F439:I439),2)</f>
        <v>150.38</v>
      </c>
      <c r="K439" s="19">
        <f>ROUND(J439*E439,2)</f>
        <v>2360.97</v>
      </c>
      <c r="L439" s="178"/>
      <c r="M439" s="139">
        <v>1</v>
      </c>
      <c r="N439" s="139"/>
      <c r="O439" s="139"/>
      <c r="P439" s="37">
        <f>Q439+Q439*R439+S439+T439+U439</f>
        <v>136.711</v>
      </c>
      <c r="Q439" s="99">
        <f>$Q$28</f>
        <v>0</v>
      </c>
      <c r="R439" s="163">
        <f>$R$28</f>
        <v>0.01</v>
      </c>
      <c r="S439" s="99">
        <f>$S$28</f>
        <v>70</v>
      </c>
      <c r="T439" s="99">
        <f>$T$28</f>
        <v>64.711</v>
      </c>
      <c r="U439" s="99">
        <f>$U$28</f>
        <v>2</v>
      </c>
      <c r="V439" s="37">
        <f>P439*E439</f>
        <v>2146.3627</v>
      </c>
      <c r="W439" s="139"/>
      <c r="X439" s="139"/>
      <c r="Y439" s="139"/>
      <c r="Z439" s="139"/>
      <c r="AA439" s="139"/>
      <c r="AB439" s="139"/>
      <c r="AC439" s="139"/>
      <c r="AD439" s="139"/>
      <c r="AE439" s="139"/>
      <c r="AF439" s="140"/>
      <c r="AG439" s="140"/>
      <c r="AH439" s="140"/>
      <c r="AI439" s="140"/>
      <c r="AJ439" s="140"/>
      <c r="AK439" s="140"/>
      <c r="AL439" s="140"/>
      <c r="AM439" s="140"/>
      <c r="AN439" s="140"/>
      <c r="AO439" s="140"/>
      <c r="AP439" s="140"/>
      <c r="AQ439" s="140"/>
      <c r="AR439" s="140"/>
      <c r="AS439" s="140"/>
      <c r="AT439" s="140"/>
      <c r="AU439" s="140"/>
      <c r="AV439" s="140"/>
      <c r="AW439" s="140"/>
      <c r="AX439" s="140"/>
      <c r="AY439" s="140"/>
      <c r="AZ439" s="140"/>
      <c r="BA439" s="140"/>
      <c r="BB439" s="140"/>
      <c r="BC439" s="140"/>
      <c r="BD439" s="140"/>
      <c r="BE439" s="140"/>
    </row>
    <row r="440" s="119" customFormat="1" ht="48" customHeight="1" outlineLevel="2" spans="1:57">
      <c r="A440" s="162">
        <f>1+N(A439)</f>
        <v>2</v>
      </c>
      <c r="B440" s="14" t="s">
        <v>104</v>
      </c>
      <c r="C440" s="167" t="s">
        <v>105</v>
      </c>
      <c r="D440" s="142" t="s">
        <v>70</v>
      </c>
      <c r="E440" s="143">
        <v>9.1</v>
      </c>
      <c r="F440" s="143">
        <f>$F$29</f>
        <v>50</v>
      </c>
      <c r="G440" s="143">
        <f>$G$29</f>
        <v>0</v>
      </c>
      <c r="H440" s="143">
        <f>$H$29</f>
        <v>22.0941</v>
      </c>
      <c r="I440" s="17">
        <f>(F440+G440+H440)*$I$3</f>
        <v>7.20941</v>
      </c>
      <c r="J440" s="18">
        <f>ROUND(SUM(F440:I440),2)</f>
        <v>79.3</v>
      </c>
      <c r="K440" s="19">
        <f>ROUND(J440*E440,2)</f>
        <v>721.63</v>
      </c>
      <c r="L440" s="178"/>
      <c r="M440" s="139">
        <v>1</v>
      </c>
      <c r="N440" s="139"/>
      <c r="O440" s="139"/>
      <c r="P440" s="37">
        <f>Q440+Q440*R440+S440+T440+U440</f>
        <v>72.0941</v>
      </c>
      <c r="Q440" s="99">
        <f>$Q$29</f>
        <v>0</v>
      </c>
      <c r="R440" s="163">
        <f>$R$29</f>
        <v>0.01</v>
      </c>
      <c r="S440" s="99">
        <f>$S$29</f>
        <v>50</v>
      </c>
      <c r="T440" s="99">
        <f>$T$29</f>
        <v>22.0941</v>
      </c>
      <c r="U440" s="99">
        <f>$U$29</f>
        <v>0</v>
      </c>
      <c r="V440" s="37">
        <f>P440*E440</f>
        <v>656.05631</v>
      </c>
      <c r="W440" s="139"/>
      <c r="X440" s="139"/>
      <c r="Y440" s="139"/>
      <c r="Z440" s="139"/>
      <c r="AA440" s="139"/>
      <c r="AB440" s="139"/>
      <c r="AC440" s="139"/>
      <c r="AD440" s="139"/>
      <c r="AE440" s="139"/>
      <c r="AF440" s="140"/>
      <c r="AG440" s="140"/>
      <c r="AH440" s="140"/>
      <c r="AI440" s="140"/>
      <c r="AJ440" s="140"/>
      <c r="AK440" s="140"/>
      <c r="AL440" s="140"/>
      <c r="AM440" s="140"/>
      <c r="AN440" s="140"/>
      <c r="AO440" s="140"/>
      <c r="AP440" s="140"/>
      <c r="AQ440" s="140"/>
      <c r="AR440" s="140"/>
      <c r="AS440" s="140"/>
      <c r="AT440" s="140"/>
      <c r="AU440" s="140"/>
      <c r="AV440" s="140"/>
      <c r="AW440" s="140"/>
      <c r="AX440" s="140"/>
      <c r="AY440" s="140"/>
      <c r="AZ440" s="140"/>
      <c r="BA440" s="140"/>
      <c r="BB440" s="140"/>
      <c r="BC440" s="140"/>
      <c r="BD440" s="140"/>
      <c r="BE440" s="140"/>
    </row>
    <row r="441" s="119" customFormat="1" ht="48" customHeight="1" outlineLevel="2" spans="1:57">
      <c r="A441" s="162">
        <f>1+N(A440)</f>
        <v>3</v>
      </c>
      <c r="B441" s="14" t="s">
        <v>106</v>
      </c>
      <c r="C441" s="167" t="s">
        <v>107</v>
      </c>
      <c r="D441" s="142" t="s">
        <v>70</v>
      </c>
      <c r="E441" s="143">
        <v>9.1</v>
      </c>
      <c r="F441" s="143">
        <f>$F$30</f>
        <v>18</v>
      </c>
      <c r="G441" s="143">
        <f>$G$30</f>
        <v>163.255</v>
      </c>
      <c r="H441" s="143">
        <f>$H$30</f>
        <v>3.8</v>
      </c>
      <c r="I441" s="17">
        <f>(F441+G441+H441)*$I$3</f>
        <v>18.5055</v>
      </c>
      <c r="J441" s="18">
        <f>ROUND(SUM(F441:I441),2)</f>
        <v>203.56</v>
      </c>
      <c r="K441" s="19">
        <f>ROUND(J441*E441,2)</f>
        <v>1852.4</v>
      </c>
      <c r="L441" s="178"/>
      <c r="M441" s="139">
        <v>1</v>
      </c>
      <c r="N441" s="139"/>
      <c r="O441" s="139"/>
      <c r="P441" s="37">
        <f>Q441+Q441*R441+S441+T441+U441</f>
        <v>185.055</v>
      </c>
      <c r="Q441" s="99">
        <f>$Q$30</f>
        <v>158.5</v>
      </c>
      <c r="R441" s="163">
        <f>$R$30</f>
        <v>0.03</v>
      </c>
      <c r="S441" s="99">
        <f>$S$30</f>
        <v>18</v>
      </c>
      <c r="T441" s="99">
        <f>$T$30</f>
        <v>3.5</v>
      </c>
      <c r="U441" s="99">
        <f>$U$30</f>
        <v>0.3</v>
      </c>
      <c r="V441" s="37">
        <f>P441*E441</f>
        <v>1684.0005</v>
      </c>
      <c r="W441" s="139"/>
      <c r="X441" s="139"/>
      <c r="Y441" s="139"/>
      <c r="Z441" s="139"/>
      <c r="AA441" s="139"/>
      <c r="AB441" s="139"/>
      <c r="AC441" s="139"/>
      <c r="AD441" s="139"/>
      <c r="AE441" s="139"/>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row>
    <row r="442" s="119" customFormat="1" ht="72" customHeight="1" outlineLevel="2" spans="1:57">
      <c r="A442" s="162">
        <f>1+N(A441)</f>
        <v>4</v>
      </c>
      <c r="B442" s="14" t="s">
        <v>110</v>
      </c>
      <c r="C442" s="167" t="s">
        <v>111</v>
      </c>
      <c r="D442" s="142" t="s">
        <v>63</v>
      </c>
      <c r="E442" s="143">
        <f>15.7+9.1*0.3</f>
        <v>18.43</v>
      </c>
      <c r="F442" s="143">
        <f>$F$32</f>
        <v>45</v>
      </c>
      <c r="G442" s="143">
        <f>$G$32</f>
        <v>85.5</v>
      </c>
      <c r="H442" s="143">
        <f>$H$32</f>
        <v>7.3</v>
      </c>
      <c r="I442" s="17">
        <f>(F442+G442+H442)*$I$3</f>
        <v>13.78</v>
      </c>
      <c r="J442" s="18">
        <f>ROUND(SUM(F442:I442),2)</f>
        <v>151.58</v>
      </c>
      <c r="K442" s="19">
        <f>ROUND(J442*E442,2)</f>
        <v>2793.62</v>
      </c>
      <c r="L442" s="178"/>
      <c r="M442" s="139">
        <v>1</v>
      </c>
      <c r="N442" s="139"/>
      <c r="O442" s="139"/>
      <c r="P442" s="37">
        <f>Q442+Q442*R442+S442+T442+U442</f>
        <v>137.8</v>
      </c>
      <c r="Q442" s="99">
        <f>$Q$32</f>
        <v>85.5</v>
      </c>
      <c r="R442" s="163">
        <f>$R$32</f>
        <v>0</v>
      </c>
      <c r="S442" s="99">
        <f>$S$32</f>
        <v>45</v>
      </c>
      <c r="T442" s="99">
        <f>$T$32</f>
        <v>6.5</v>
      </c>
      <c r="U442" s="99">
        <f>$U$32</f>
        <v>0.8</v>
      </c>
      <c r="V442" s="37">
        <f>P442*E442</f>
        <v>2539.654</v>
      </c>
      <c r="W442" s="139"/>
      <c r="X442" s="139"/>
      <c r="Y442" s="139"/>
      <c r="Z442" s="139"/>
      <c r="AA442" s="139"/>
      <c r="AB442" s="139"/>
      <c r="AC442" s="139"/>
      <c r="AD442" s="139"/>
      <c r="AE442" s="139"/>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row>
    <row r="443" s="119" customFormat="1" ht="24" customHeight="1" outlineLevel="1" spans="1:57">
      <c r="A443" s="141"/>
      <c r="B443" s="14" t="s">
        <v>112</v>
      </c>
      <c r="C443" s="15"/>
      <c r="D443" s="142"/>
      <c r="E443" s="143"/>
      <c r="F443" s="143"/>
      <c r="G443" s="143"/>
      <c r="H443" s="143"/>
      <c r="I443" s="143"/>
      <c r="J443" s="143"/>
      <c r="K443" s="144"/>
      <c r="L443" s="178"/>
      <c r="M443" s="139"/>
      <c r="N443" s="139"/>
      <c r="O443" s="139"/>
      <c r="P443" s="137"/>
      <c r="Q443" s="137"/>
      <c r="R443" s="138"/>
      <c r="S443" s="137"/>
      <c r="T443" s="137"/>
      <c r="U443" s="137"/>
      <c r="V443" s="137"/>
      <c r="W443" s="139"/>
      <c r="X443" s="139"/>
      <c r="Y443" s="139"/>
      <c r="Z443" s="139"/>
      <c r="AA443" s="139"/>
      <c r="AB443" s="139"/>
      <c r="AC443" s="139"/>
      <c r="AD443" s="139"/>
      <c r="AE443" s="139"/>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row>
    <row r="444" s="119" customFormat="1" ht="36" customHeight="1" outlineLevel="2" spans="1:57">
      <c r="A444" s="162">
        <f>1+N(A443)</f>
        <v>1</v>
      </c>
      <c r="B444" s="14" t="s">
        <v>126</v>
      </c>
      <c r="C444" s="15" t="s">
        <v>114</v>
      </c>
      <c r="D444" s="142" t="s">
        <v>63</v>
      </c>
      <c r="E444" s="143">
        <f>0.7*2.4</f>
        <v>1.68</v>
      </c>
      <c r="F444" s="143">
        <f>$F$60</f>
        <v>165</v>
      </c>
      <c r="G444" s="143">
        <f>$G$60</f>
        <v>85</v>
      </c>
      <c r="H444" s="143">
        <f>$H$60</f>
        <v>355.1744</v>
      </c>
      <c r="I444" s="17">
        <f>(F444+G444+H444)*$I$3</f>
        <v>60.51744</v>
      </c>
      <c r="J444" s="18">
        <f>ROUND(SUM(F444:I444),2)</f>
        <v>665.69</v>
      </c>
      <c r="K444" s="19">
        <f>ROUND(J444*E444,2)</f>
        <v>1118.36</v>
      </c>
      <c r="L444" s="178"/>
      <c r="M444" s="139">
        <v>1</v>
      </c>
      <c r="N444" s="139"/>
      <c r="O444" s="139"/>
      <c r="P444" s="37">
        <f>Q444+Q444*R444+S444+T444+U444</f>
        <v>605.1744</v>
      </c>
      <c r="Q444" s="99">
        <f>$Q$60</f>
        <v>85</v>
      </c>
      <c r="R444" s="163">
        <f>$R$60</f>
        <v>0</v>
      </c>
      <c r="S444" s="99">
        <f>$S$60</f>
        <v>165</v>
      </c>
      <c r="T444" s="99">
        <f>$T$60</f>
        <v>353.6744</v>
      </c>
      <c r="U444" s="99">
        <f>$U$60</f>
        <v>1.5</v>
      </c>
      <c r="V444" s="37">
        <f>P444*E444</f>
        <v>1016.692992</v>
      </c>
      <c r="W444" s="139"/>
      <c r="X444" s="139"/>
      <c r="Y444" s="139"/>
      <c r="Z444" s="139"/>
      <c r="AA444" s="139"/>
      <c r="AB444" s="139"/>
      <c r="AC444" s="139"/>
      <c r="AD444" s="139"/>
      <c r="AE444" s="139"/>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row>
    <row r="445" s="119" customFormat="1" ht="24" customHeight="1" outlineLevel="1" spans="1:57">
      <c r="A445" s="132"/>
      <c r="B445" s="8" t="s">
        <v>160</v>
      </c>
      <c r="C445" s="8"/>
      <c r="D445" s="133"/>
      <c r="E445" s="134"/>
      <c r="F445" s="134"/>
      <c r="G445" s="134"/>
      <c r="H445" s="134"/>
      <c r="I445" s="134"/>
      <c r="J445" s="134"/>
      <c r="K445" s="11"/>
      <c r="L445" s="178"/>
      <c r="M445" s="139"/>
      <c r="N445" s="139"/>
      <c r="O445" s="139" t="str">
        <f>_xlfn.DISPIMG("ID_08529AA2B4754D7788EF3058DD12C0B7",1)</f>
        <v>=DISPIMG("ID_08529AA2B4754D7788EF3058DD12C0B7",1)</v>
      </c>
      <c r="P445" s="137"/>
      <c r="Q445" s="137"/>
      <c r="R445" s="138"/>
      <c r="S445" s="137"/>
      <c r="T445" s="137"/>
      <c r="U445" s="137"/>
      <c r="V445" s="137"/>
      <c r="W445" s="139"/>
      <c r="X445" s="139"/>
      <c r="Y445" s="139"/>
      <c r="Z445" s="139"/>
      <c r="AA445" s="139"/>
      <c r="AB445" s="139"/>
      <c r="AC445" s="139"/>
      <c r="AD445" s="139"/>
      <c r="AE445" s="139"/>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row>
    <row r="446" s="119" customFormat="1" ht="24" customHeight="1" outlineLevel="1" spans="1:57">
      <c r="A446" s="141"/>
      <c r="B446" s="165" t="s">
        <v>161</v>
      </c>
      <c r="C446" s="15"/>
      <c r="D446" s="142"/>
      <c r="E446" s="143"/>
      <c r="F446" s="143"/>
      <c r="G446" s="143"/>
      <c r="H446" s="143"/>
      <c r="I446" s="143"/>
      <c r="J446" s="143"/>
      <c r="K446" s="144"/>
      <c r="L446" s="178"/>
      <c r="M446" s="139"/>
      <c r="N446" s="139"/>
      <c r="O446" s="139"/>
      <c r="P446" s="137"/>
      <c r="Q446" s="137"/>
      <c r="R446" s="138"/>
      <c r="S446" s="137"/>
      <c r="T446" s="137"/>
      <c r="U446" s="137"/>
      <c r="V446" s="137"/>
      <c r="W446" s="139"/>
      <c r="X446" s="139"/>
      <c r="Y446" s="139"/>
      <c r="Z446" s="139"/>
      <c r="AA446" s="139"/>
      <c r="AB446" s="139"/>
      <c r="AC446" s="139"/>
      <c r="AD446" s="139"/>
      <c r="AE446" s="139"/>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row>
    <row r="447" s="119" customFormat="1" ht="36" customHeight="1" outlineLevel="2" spans="1:57">
      <c r="A447" s="145">
        <f>1+N(A446)</f>
        <v>1</v>
      </c>
      <c r="B447" s="159" t="s">
        <v>244</v>
      </c>
      <c r="C447" s="160" t="s">
        <v>245</v>
      </c>
      <c r="D447" s="148" t="s">
        <v>214</v>
      </c>
      <c r="E447" s="149">
        <f>0.43*2.85</f>
        <v>1.2255</v>
      </c>
      <c r="F447" s="149">
        <f>S447*$S$1</f>
        <v>675</v>
      </c>
      <c r="G447" s="149">
        <f>Q447*(1+R447)*$Q$1</f>
        <v>0</v>
      </c>
      <c r="H447" s="149">
        <f>(T447+U447)*$T$1</f>
        <v>2.5</v>
      </c>
      <c r="I447" s="150">
        <f>(F447+G447+H447)*$I$3</f>
        <v>67.75</v>
      </c>
      <c r="J447" s="151">
        <f>ROUND(SUM(F447:I447),2)</f>
        <v>745.25</v>
      </c>
      <c r="K447" s="152">
        <f>ROUND(J447*E447,2)</f>
        <v>913.3</v>
      </c>
      <c r="L447" s="178"/>
      <c r="M447" s="139">
        <v>1</v>
      </c>
      <c r="N447" s="139"/>
      <c r="O447" s="139"/>
      <c r="P447" s="37">
        <f>Q447+Q447*R447+S447+T447+U447</f>
        <v>677.5</v>
      </c>
      <c r="Q447" s="71"/>
      <c r="R447" s="157">
        <v>0</v>
      </c>
      <c r="S447" s="71">
        <v>675</v>
      </c>
      <c r="T447" s="71"/>
      <c r="U447" s="71">
        <v>2.5</v>
      </c>
      <c r="V447" s="37">
        <f>P447*E447</f>
        <v>830.27625</v>
      </c>
      <c r="W447" s="139"/>
      <c r="X447" s="139"/>
      <c r="Y447" s="139"/>
      <c r="Z447" s="139"/>
      <c r="AA447" s="139"/>
      <c r="AB447" s="139"/>
      <c r="AC447" s="139"/>
      <c r="AD447" s="139"/>
      <c r="AE447" s="139"/>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row>
    <row r="448" s="2" customFormat="1" ht="24" customHeight="1" spans="1:57">
      <c r="A448" s="8" t="s">
        <v>246</v>
      </c>
      <c r="B448" s="8" t="s">
        <v>247</v>
      </c>
      <c r="C448" s="8"/>
      <c r="D448" s="8"/>
      <c r="E448" s="128"/>
      <c r="F448" s="128"/>
      <c r="G448" s="128"/>
      <c r="H448" s="128"/>
      <c r="I448" s="128"/>
      <c r="J448" s="128"/>
      <c r="K448" s="11">
        <f>SUM(K449:K910)</f>
        <v>4152205.99</v>
      </c>
      <c r="L448" s="178"/>
      <c r="M448" s="130"/>
      <c r="N448" s="130"/>
      <c r="O448" s="130"/>
      <c r="P448" s="128"/>
      <c r="Q448" s="128"/>
      <c r="R448" s="129"/>
      <c r="S448" s="128"/>
      <c r="T448" s="128"/>
      <c r="U448" s="128"/>
      <c r="V448" s="128"/>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c r="BB448" s="130"/>
      <c r="BC448" s="130"/>
      <c r="BD448" s="130"/>
      <c r="BE448" s="130"/>
    </row>
    <row r="449" s="119" customFormat="1" ht="24" customHeight="1" outlineLevel="1" spans="1:57">
      <c r="A449" s="132"/>
      <c r="B449" s="179" t="s">
        <v>248</v>
      </c>
      <c r="C449" s="180"/>
      <c r="D449" s="133"/>
      <c r="E449" s="134"/>
      <c r="F449" s="134"/>
      <c r="G449" s="134"/>
      <c r="H449" s="134"/>
      <c r="I449" s="134"/>
      <c r="J449" s="134"/>
      <c r="K449" s="11"/>
      <c r="L449" s="178"/>
      <c r="M449" s="139"/>
      <c r="N449" s="139"/>
      <c r="O449" s="139" t="str">
        <f>_xlfn.DISPIMG("ID_794EEF17F06A4AF783B086FE9CB1E3D4",1)</f>
        <v>=DISPIMG("ID_794EEF17F06A4AF783B086FE9CB1E3D4",1)</v>
      </c>
      <c r="P449" s="137"/>
      <c r="Q449" s="137"/>
      <c r="R449" s="138"/>
      <c r="S449" s="137"/>
      <c r="T449" s="137"/>
      <c r="U449" s="137"/>
      <c r="V449" s="137"/>
      <c r="W449" s="139"/>
      <c r="X449" s="139"/>
      <c r="Y449" s="139"/>
      <c r="Z449" s="139"/>
      <c r="AA449" s="139"/>
      <c r="AB449" s="139"/>
      <c r="AC449" s="139"/>
      <c r="AD449" s="139"/>
      <c r="AE449" s="139"/>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row>
    <row r="450" s="119" customFormat="1" ht="24" customHeight="1" outlineLevel="1" spans="1:57">
      <c r="A450" s="141"/>
      <c r="B450" s="14" t="s">
        <v>60</v>
      </c>
      <c r="C450" s="15"/>
      <c r="D450" s="142"/>
      <c r="E450" s="143"/>
      <c r="F450" s="143"/>
      <c r="G450" s="143"/>
      <c r="H450" s="143"/>
      <c r="I450" s="143"/>
      <c r="J450" s="143"/>
      <c r="K450" s="144"/>
      <c r="L450" s="178"/>
      <c r="M450" s="139"/>
      <c r="N450" s="139"/>
      <c r="O450" s="139"/>
      <c r="P450" s="137"/>
      <c r="Q450" s="137"/>
      <c r="R450" s="138"/>
      <c r="S450" s="137"/>
      <c r="T450" s="137"/>
      <c r="U450" s="137"/>
      <c r="V450" s="137"/>
      <c r="W450" s="139"/>
      <c r="X450" s="139"/>
      <c r="Y450" s="139"/>
      <c r="Z450" s="139"/>
      <c r="AA450" s="139"/>
      <c r="AB450" s="139"/>
      <c r="AC450" s="139"/>
      <c r="AD450" s="139"/>
      <c r="AE450" s="139"/>
      <c r="AF450" s="140"/>
      <c r="AG450" s="140"/>
      <c r="AH450" s="140"/>
      <c r="AI450" s="140"/>
      <c r="AJ450" s="140"/>
      <c r="AK450" s="140"/>
      <c r="AL450" s="140"/>
      <c r="AM450" s="140"/>
      <c r="AN450" s="140"/>
      <c r="AO450" s="140"/>
      <c r="AP450" s="140"/>
      <c r="AQ450" s="140"/>
      <c r="AR450" s="140"/>
      <c r="AS450" s="140"/>
      <c r="AT450" s="140"/>
      <c r="AU450" s="140"/>
      <c r="AV450" s="140"/>
      <c r="AW450" s="140"/>
      <c r="AX450" s="140"/>
      <c r="AY450" s="140"/>
      <c r="AZ450" s="140"/>
      <c r="BA450" s="140"/>
      <c r="BB450" s="140"/>
      <c r="BC450" s="140"/>
      <c r="BD450" s="140"/>
      <c r="BE450" s="140"/>
    </row>
    <row r="451" s="119" customFormat="1" ht="60" customHeight="1" outlineLevel="2" spans="1:57">
      <c r="A451" s="145">
        <f t="shared" ref="A451:A457" si="108">1+N(A450)</f>
        <v>1</v>
      </c>
      <c r="B451" s="146" t="s">
        <v>249</v>
      </c>
      <c r="C451" s="147" t="s">
        <v>250</v>
      </c>
      <c r="D451" s="148" t="s">
        <v>63</v>
      </c>
      <c r="E451" s="149">
        <v>5.36</v>
      </c>
      <c r="F451" s="149">
        <f>S451*$S$1</f>
        <v>45</v>
      </c>
      <c r="G451" s="149">
        <f>Q451*(1+R451)*$Q$1</f>
        <v>59.994</v>
      </c>
      <c r="H451" s="149">
        <f>(T451+U451)*$T$1</f>
        <v>3.7</v>
      </c>
      <c r="I451" s="150">
        <f t="shared" ref="I451:I457" si="109">(F451+G451+H451)*$I$3</f>
        <v>10.8694</v>
      </c>
      <c r="J451" s="151">
        <f t="shared" ref="J451:J457" si="110">ROUND(SUM(F451:I451),2)</f>
        <v>119.56</v>
      </c>
      <c r="K451" s="152">
        <f t="shared" ref="K451:K457" si="111">ROUND(J451*E451,2)</f>
        <v>640.84</v>
      </c>
      <c r="L451" s="178"/>
      <c r="M451" s="139">
        <v>1</v>
      </c>
      <c r="N451" s="139">
        <v>582.58</v>
      </c>
      <c r="O451" s="139"/>
      <c r="P451" s="37">
        <f t="shared" ref="P451:P457" si="112">Q451+Q451*R451+S451+T451+U451</f>
        <v>108.694</v>
      </c>
      <c r="Q451" s="71">
        <v>59.4</v>
      </c>
      <c r="R451" s="157">
        <v>0.01</v>
      </c>
      <c r="S451" s="71">
        <v>45</v>
      </c>
      <c r="T451" s="71">
        <v>3.5</v>
      </c>
      <c r="U451" s="71">
        <v>0.2</v>
      </c>
      <c r="V451" s="37">
        <f t="shared" ref="V451:V457" si="113">P451*E451</f>
        <v>582.59984</v>
      </c>
      <c r="W451" s="139"/>
      <c r="X451" s="139"/>
      <c r="Y451" s="139"/>
      <c r="Z451" s="139"/>
      <c r="AA451" s="139"/>
      <c r="AB451" s="139"/>
      <c r="AC451" s="139"/>
      <c r="AD451" s="139"/>
      <c r="AE451" s="139"/>
      <c r="AF451" s="140"/>
      <c r="AG451" s="140"/>
      <c r="AH451" s="140"/>
      <c r="AI451" s="140"/>
      <c r="AJ451" s="140"/>
      <c r="AK451" s="140"/>
      <c r="AL451" s="140"/>
      <c r="AM451" s="140"/>
      <c r="AN451" s="140"/>
      <c r="AO451" s="140"/>
      <c r="AP451" s="140"/>
      <c r="AQ451" s="140"/>
      <c r="AR451" s="140"/>
      <c r="AS451" s="140"/>
      <c r="AT451" s="140"/>
      <c r="AU451" s="140"/>
      <c r="AV451" s="140"/>
      <c r="AW451" s="140"/>
      <c r="AX451" s="140"/>
      <c r="AY451" s="140"/>
      <c r="AZ451" s="140"/>
      <c r="BA451" s="140"/>
      <c r="BB451" s="140"/>
      <c r="BC451" s="140"/>
      <c r="BD451" s="140"/>
      <c r="BE451" s="140"/>
    </row>
    <row r="452" s="119" customFormat="1" ht="48" customHeight="1" outlineLevel="2" spans="1:57">
      <c r="A452" s="145">
        <f t="shared" si="108"/>
        <v>2</v>
      </c>
      <c r="B452" s="146" t="s">
        <v>251</v>
      </c>
      <c r="C452" s="147" t="s">
        <v>252</v>
      </c>
      <c r="D452" s="148" t="s">
        <v>70</v>
      </c>
      <c r="E452" s="149">
        <v>11.35</v>
      </c>
      <c r="F452" s="149">
        <f>S452*$S$1</f>
        <v>45</v>
      </c>
      <c r="G452" s="149">
        <f>Q452*(1+R452)*$Q$1</f>
        <v>119.717219</v>
      </c>
      <c r="H452" s="149">
        <f>(T452+U452)*$T$1</f>
        <v>7</v>
      </c>
      <c r="I452" s="150">
        <f t="shared" si="109"/>
        <v>17.1717219</v>
      </c>
      <c r="J452" s="151">
        <f t="shared" si="110"/>
        <v>188.89</v>
      </c>
      <c r="K452" s="152">
        <f t="shared" si="111"/>
        <v>2143.9</v>
      </c>
      <c r="L452" s="178"/>
      <c r="M452" s="139">
        <v>1</v>
      </c>
      <c r="N452" s="139">
        <v>1949.02</v>
      </c>
      <c r="O452" s="139"/>
      <c r="P452" s="37">
        <f t="shared" si="112"/>
        <v>171.717219</v>
      </c>
      <c r="Q452" s="71">
        <v>118.5319</v>
      </c>
      <c r="R452" s="157">
        <v>0.01</v>
      </c>
      <c r="S452" s="71">
        <v>45</v>
      </c>
      <c r="T452" s="71">
        <v>6.5</v>
      </c>
      <c r="U452" s="71">
        <v>0.5</v>
      </c>
      <c r="V452" s="37">
        <f t="shared" si="113"/>
        <v>1948.99043565</v>
      </c>
      <c r="W452" s="139"/>
      <c r="X452" s="139"/>
      <c r="Y452" s="139"/>
      <c r="Z452" s="139"/>
      <c r="AA452" s="139"/>
      <c r="AB452" s="139"/>
      <c r="AC452" s="139"/>
      <c r="AD452" s="139"/>
      <c r="AE452" s="139"/>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row>
    <row r="453" s="119" customFormat="1" ht="108" customHeight="1" outlineLevel="2" spans="1:57">
      <c r="A453" s="145">
        <f t="shared" si="108"/>
        <v>3</v>
      </c>
      <c r="B453" s="146" t="s">
        <v>61</v>
      </c>
      <c r="C453" s="147" t="s">
        <v>253</v>
      </c>
      <c r="D453" s="148" t="s">
        <v>63</v>
      </c>
      <c r="E453" s="149">
        <v>85.43</v>
      </c>
      <c r="F453" s="149">
        <f>S453*$S$1</f>
        <v>130</v>
      </c>
      <c r="G453" s="149">
        <f>Q453*(1+R453)*$Q$1</f>
        <v>854.9</v>
      </c>
      <c r="H453" s="150">
        <f>(T453+U453)*$T$1</f>
        <v>47.7</v>
      </c>
      <c r="I453" s="150">
        <f t="shared" si="109"/>
        <v>103.26</v>
      </c>
      <c r="J453" s="151">
        <f t="shared" si="110"/>
        <v>1135.86</v>
      </c>
      <c r="K453" s="152">
        <f t="shared" si="111"/>
        <v>97036.52</v>
      </c>
      <c r="L453" s="178"/>
      <c r="M453" s="139">
        <v>1</v>
      </c>
      <c r="N453" s="139">
        <v>88215.02</v>
      </c>
      <c r="O453" s="139"/>
      <c r="P453" s="37">
        <f t="shared" si="112"/>
        <v>1032.6</v>
      </c>
      <c r="Q453" s="71">
        <v>830</v>
      </c>
      <c r="R453" s="157">
        <v>0.03</v>
      </c>
      <c r="S453" s="71">
        <v>130</v>
      </c>
      <c r="T453" s="71">
        <v>46.2</v>
      </c>
      <c r="U453" s="71">
        <v>1.5</v>
      </c>
      <c r="V453" s="37">
        <f t="shared" si="113"/>
        <v>88215.018</v>
      </c>
      <c r="W453" s="139"/>
      <c r="X453" s="139"/>
      <c r="Y453" s="139"/>
      <c r="Z453" s="139"/>
      <c r="AA453" s="139"/>
      <c r="AB453" s="139"/>
      <c r="AC453" s="139"/>
      <c r="AD453" s="139"/>
      <c r="AE453" s="139"/>
      <c r="AF453" s="140"/>
      <c r="AG453" s="140"/>
      <c r="AH453" s="140"/>
      <c r="AI453" s="140"/>
      <c r="AJ453" s="140"/>
      <c r="AK453" s="140"/>
      <c r="AL453" s="140"/>
      <c r="AM453" s="140"/>
      <c r="AN453" s="140"/>
      <c r="AO453" s="140"/>
      <c r="AP453" s="140"/>
      <c r="AQ453" s="140"/>
      <c r="AR453" s="140"/>
      <c r="AS453" s="140"/>
      <c r="AT453" s="140"/>
      <c r="AU453" s="140"/>
      <c r="AV453" s="140"/>
      <c r="AW453" s="140"/>
      <c r="AX453" s="140"/>
      <c r="AY453" s="140"/>
      <c r="AZ453" s="140"/>
      <c r="BA453" s="140"/>
      <c r="BB453" s="140"/>
      <c r="BC453" s="140"/>
      <c r="BD453" s="140"/>
      <c r="BE453" s="140"/>
    </row>
    <row r="454" s="119" customFormat="1" ht="108" customHeight="1" outlineLevel="2" spans="1:57">
      <c r="A454" s="145">
        <f t="shared" si="108"/>
        <v>4</v>
      </c>
      <c r="B454" s="146" t="s">
        <v>254</v>
      </c>
      <c r="C454" s="147" t="s">
        <v>255</v>
      </c>
      <c r="D454" s="148" t="s">
        <v>63</v>
      </c>
      <c r="E454" s="149">
        <v>24.83</v>
      </c>
      <c r="F454" s="149">
        <f>S454*$S$1</f>
        <v>130</v>
      </c>
      <c r="G454" s="149">
        <f>Q454*(1+R454)*$Q$1</f>
        <v>854.9</v>
      </c>
      <c r="H454" s="149">
        <f>(T454+U454)*$T$1</f>
        <v>47.7</v>
      </c>
      <c r="I454" s="150">
        <f t="shared" si="109"/>
        <v>103.26</v>
      </c>
      <c r="J454" s="151">
        <f t="shared" si="110"/>
        <v>1135.86</v>
      </c>
      <c r="K454" s="152">
        <f t="shared" si="111"/>
        <v>28203.4</v>
      </c>
      <c r="L454" s="178"/>
      <c r="M454" s="139">
        <v>1</v>
      </c>
      <c r="N454" s="139">
        <v>25639.46</v>
      </c>
      <c r="O454" s="139"/>
      <c r="P454" s="37">
        <f t="shared" si="112"/>
        <v>1032.6</v>
      </c>
      <c r="Q454" s="71">
        <v>830</v>
      </c>
      <c r="R454" s="157">
        <v>0.03</v>
      </c>
      <c r="S454" s="71">
        <v>130</v>
      </c>
      <c r="T454" s="71">
        <v>46.2</v>
      </c>
      <c r="U454" s="71">
        <v>1.5</v>
      </c>
      <c r="V454" s="37">
        <f t="shared" si="113"/>
        <v>25639.458</v>
      </c>
      <c r="W454" s="139"/>
      <c r="X454" s="139"/>
      <c r="Y454" s="139"/>
      <c r="Z454" s="139"/>
      <c r="AA454" s="139"/>
      <c r="AB454" s="139"/>
      <c r="AC454" s="139"/>
      <c r="AD454" s="139"/>
      <c r="AE454" s="139"/>
      <c r="AF454" s="140"/>
      <c r="AG454" s="140"/>
      <c r="AH454" s="140"/>
      <c r="AI454" s="140"/>
      <c r="AJ454" s="140"/>
      <c r="AK454" s="140"/>
      <c r="AL454" s="140"/>
      <c r="AM454" s="140"/>
      <c r="AN454" s="140"/>
      <c r="AO454" s="140"/>
      <c r="AP454" s="140"/>
      <c r="AQ454" s="140"/>
      <c r="AR454" s="140"/>
      <c r="AS454" s="140"/>
      <c r="AT454" s="140"/>
      <c r="AU454" s="140"/>
      <c r="AV454" s="140"/>
      <c r="AW454" s="140"/>
      <c r="AX454" s="140"/>
      <c r="AY454" s="140"/>
      <c r="AZ454" s="140"/>
      <c r="BA454" s="140"/>
      <c r="BB454" s="140"/>
      <c r="BC454" s="140"/>
      <c r="BD454" s="140"/>
      <c r="BE454" s="140"/>
    </row>
    <row r="455" s="119" customFormat="1" ht="96" customHeight="1" outlineLevel="2" spans="1:57">
      <c r="A455" s="145">
        <f t="shared" si="108"/>
        <v>5</v>
      </c>
      <c r="B455" s="146" t="s">
        <v>256</v>
      </c>
      <c r="C455" s="147" t="s">
        <v>257</v>
      </c>
      <c r="D455" s="148" t="s">
        <v>63</v>
      </c>
      <c r="E455" s="149">
        <f>5.36+11.35*0.165</f>
        <v>7.23275</v>
      </c>
      <c r="F455" s="149">
        <f>S455*$S$1</f>
        <v>130</v>
      </c>
      <c r="G455" s="149">
        <f>Q455*(1+R455)*$Q$1</f>
        <v>638.6</v>
      </c>
      <c r="H455" s="150">
        <f>(T455+U455)*$T$1</f>
        <v>47.7</v>
      </c>
      <c r="I455" s="150">
        <f t="shared" si="109"/>
        <v>81.63</v>
      </c>
      <c r="J455" s="151">
        <f t="shared" si="110"/>
        <v>897.93</v>
      </c>
      <c r="K455" s="152">
        <f t="shared" si="111"/>
        <v>6494.5</v>
      </c>
      <c r="L455" s="178"/>
      <c r="M455" s="139">
        <v>1</v>
      </c>
      <c r="N455" s="139">
        <v>5904.09</v>
      </c>
      <c r="O455" s="139"/>
      <c r="P455" s="37">
        <f t="shared" si="112"/>
        <v>816.3</v>
      </c>
      <c r="Q455" s="71">
        <v>620</v>
      </c>
      <c r="R455" s="157">
        <v>0.03</v>
      </c>
      <c r="S455" s="71">
        <v>130</v>
      </c>
      <c r="T455" s="71">
        <v>46.2</v>
      </c>
      <c r="U455" s="71">
        <v>1.5</v>
      </c>
      <c r="V455" s="37">
        <f t="shared" si="113"/>
        <v>5904.093825</v>
      </c>
      <c r="W455" s="139"/>
      <c r="X455" s="139"/>
      <c r="Y455" s="139"/>
      <c r="Z455" s="139"/>
      <c r="AA455" s="139"/>
      <c r="AB455" s="139"/>
      <c r="AC455" s="139"/>
      <c r="AD455" s="139"/>
      <c r="AE455" s="139"/>
      <c r="AF455" s="140"/>
      <c r="AG455" s="140"/>
      <c r="AH455" s="140"/>
      <c r="AI455" s="140"/>
      <c r="AJ455" s="140"/>
      <c r="AK455" s="140"/>
      <c r="AL455" s="140"/>
      <c r="AM455" s="140"/>
      <c r="AN455" s="140"/>
      <c r="AO455" s="140"/>
      <c r="AP455" s="140"/>
      <c r="AQ455" s="140"/>
      <c r="AR455" s="140"/>
      <c r="AS455" s="140"/>
      <c r="AT455" s="140"/>
      <c r="AU455" s="140"/>
      <c r="AV455" s="140"/>
      <c r="AW455" s="140"/>
      <c r="AX455" s="140"/>
      <c r="AY455" s="140"/>
      <c r="AZ455" s="140"/>
      <c r="BA455" s="140"/>
      <c r="BB455" s="140"/>
      <c r="BC455" s="140"/>
      <c r="BD455" s="140"/>
      <c r="BE455" s="140"/>
    </row>
    <row r="456" s="119" customFormat="1" ht="56" customHeight="1" outlineLevel="2" spans="1:57">
      <c r="A456" s="162">
        <f t="shared" si="108"/>
        <v>6</v>
      </c>
      <c r="B456" s="14" t="s">
        <v>68</v>
      </c>
      <c r="C456" s="15" t="s">
        <v>69</v>
      </c>
      <c r="D456" s="142" t="s">
        <v>70</v>
      </c>
      <c r="E456" s="143">
        <v>19.84</v>
      </c>
      <c r="F456" s="143">
        <f>$F$10</f>
        <v>12</v>
      </c>
      <c r="G456" s="143">
        <f>$G$10</f>
        <v>19.57</v>
      </c>
      <c r="H456" s="143">
        <f>$H$10</f>
        <v>0.5</v>
      </c>
      <c r="I456" s="17">
        <f t="shared" si="109"/>
        <v>3.207</v>
      </c>
      <c r="J456" s="18">
        <f t="shared" si="110"/>
        <v>35.28</v>
      </c>
      <c r="K456" s="19">
        <f t="shared" si="111"/>
        <v>699.96</v>
      </c>
      <c r="L456" s="178"/>
      <c r="M456" s="139">
        <v>1</v>
      </c>
      <c r="N456" s="139">
        <v>636.27</v>
      </c>
      <c r="O456" s="139"/>
      <c r="P456" s="37">
        <f t="shared" si="112"/>
        <v>32.07</v>
      </c>
      <c r="Q456" s="99">
        <f>$Q$10</f>
        <v>19</v>
      </c>
      <c r="R456" s="163">
        <f>$R$10</f>
        <v>0.03</v>
      </c>
      <c r="S456" s="99">
        <f>$S$10</f>
        <v>12</v>
      </c>
      <c r="T456" s="99">
        <f>$T$10</f>
        <v>0.3</v>
      </c>
      <c r="U456" s="99">
        <f>$U$10</f>
        <v>0.2</v>
      </c>
      <c r="V456" s="37">
        <f t="shared" si="113"/>
        <v>636.2688</v>
      </c>
      <c r="W456" s="139"/>
      <c r="X456" s="139"/>
      <c r="Y456" s="139"/>
      <c r="Z456" s="139"/>
      <c r="AA456" s="139"/>
      <c r="AB456" s="139"/>
      <c r="AC456" s="139"/>
      <c r="AD456" s="139"/>
      <c r="AE456" s="139"/>
      <c r="AF456" s="140"/>
      <c r="AG456" s="140"/>
      <c r="AH456" s="140"/>
      <c r="AI456" s="140"/>
      <c r="AJ456" s="140"/>
      <c r="AK456" s="140"/>
      <c r="AL456" s="140"/>
      <c r="AM456" s="140"/>
      <c r="AN456" s="140"/>
      <c r="AO456" s="140"/>
      <c r="AP456" s="140"/>
      <c r="AQ456" s="140"/>
      <c r="AR456" s="140"/>
      <c r="AS456" s="140"/>
      <c r="AT456" s="140"/>
      <c r="AU456" s="140"/>
      <c r="AV456" s="140"/>
      <c r="AW456" s="140"/>
      <c r="AX456" s="140"/>
      <c r="AY456" s="140"/>
      <c r="AZ456" s="140"/>
      <c r="BA456" s="140"/>
      <c r="BB456" s="140"/>
      <c r="BC456" s="140"/>
      <c r="BD456" s="140"/>
      <c r="BE456" s="140"/>
    </row>
    <row r="457" s="119" customFormat="1" ht="48" customHeight="1" outlineLevel="2" spans="1:57">
      <c r="A457" s="162">
        <f t="shared" si="108"/>
        <v>7</v>
      </c>
      <c r="B457" s="14" t="s">
        <v>71</v>
      </c>
      <c r="C457" s="15" t="s">
        <v>72</v>
      </c>
      <c r="D457" s="142" t="s">
        <v>63</v>
      </c>
      <c r="E457" s="143">
        <v>117.49</v>
      </c>
      <c r="F457" s="143">
        <f>$F$11</f>
        <v>40</v>
      </c>
      <c r="G457" s="143">
        <f>$G$11</f>
        <v>15</v>
      </c>
      <c r="H457" s="143">
        <f>$H$11</f>
        <v>0.8</v>
      </c>
      <c r="I457" s="17">
        <f t="shared" si="109"/>
        <v>5.58</v>
      </c>
      <c r="J457" s="18">
        <f t="shared" si="110"/>
        <v>61.38</v>
      </c>
      <c r="K457" s="19">
        <f t="shared" si="111"/>
        <v>7211.54</v>
      </c>
      <c r="L457" s="178"/>
      <c r="M457" s="139">
        <v>1</v>
      </c>
      <c r="N457" s="139">
        <v>6555.94</v>
      </c>
      <c r="O457" s="139"/>
      <c r="P457" s="37">
        <f t="shared" si="112"/>
        <v>55.8</v>
      </c>
      <c r="Q457" s="99">
        <f>$Q$11</f>
        <v>15</v>
      </c>
      <c r="R457" s="163">
        <f>$R$11</f>
        <v>0</v>
      </c>
      <c r="S457" s="99">
        <f>$S$11</f>
        <v>40</v>
      </c>
      <c r="T457" s="99">
        <f>$T$11</f>
        <v>0.5</v>
      </c>
      <c r="U457" s="99">
        <f>$U$11</f>
        <v>0.3</v>
      </c>
      <c r="V457" s="37">
        <f t="shared" si="113"/>
        <v>6555.942</v>
      </c>
      <c r="W457" s="139"/>
      <c r="X457" s="139"/>
      <c r="Y457" s="139"/>
      <c r="Z457" s="139"/>
      <c r="AA457" s="139"/>
      <c r="AB457" s="139"/>
      <c r="AC457" s="139"/>
      <c r="AD457" s="139"/>
      <c r="AE457" s="139"/>
      <c r="AF457" s="140"/>
      <c r="AG457" s="140"/>
      <c r="AH457" s="140"/>
      <c r="AI457" s="140"/>
      <c r="AJ457" s="140"/>
      <c r="AK457" s="140"/>
      <c r="AL457" s="140"/>
      <c r="AM457" s="140"/>
      <c r="AN457" s="140"/>
      <c r="AO457" s="140"/>
      <c r="AP457" s="140"/>
      <c r="AQ457" s="140"/>
      <c r="AR457" s="140"/>
      <c r="AS457" s="140"/>
      <c r="AT457" s="140"/>
      <c r="AU457" s="140"/>
      <c r="AV457" s="140"/>
      <c r="AW457" s="140"/>
      <c r="AX457" s="140"/>
      <c r="AY457" s="140"/>
      <c r="AZ457" s="140"/>
      <c r="BA457" s="140"/>
      <c r="BB457" s="140"/>
      <c r="BC457" s="140"/>
      <c r="BD457" s="140"/>
      <c r="BE457" s="140"/>
    </row>
    <row r="458" s="119" customFormat="1" ht="24" customHeight="1" outlineLevel="1" spans="1:57">
      <c r="A458" s="141"/>
      <c r="B458" s="14" t="s">
        <v>73</v>
      </c>
      <c r="C458" s="15"/>
      <c r="D458" s="142"/>
      <c r="E458" s="143"/>
      <c r="F458" s="143"/>
      <c r="G458" s="143"/>
      <c r="H458" s="143"/>
      <c r="I458" s="143"/>
      <c r="J458" s="143"/>
      <c r="K458" s="144"/>
      <c r="L458" s="178"/>
      <c r="M458" s="139"/>
      <c r="N458" s="139"/>
      <c r="O458" s="139"/>
      <c r="P458" s="137"/>
      <c r="Q458" s="137"/>
      <c r="R458" s="138"/>
      <c r="S458" s="137"/>
      <c r="T458" s="137"/>
      <c r="U458" s="137"/>
      <c r="V458" s="137"/>
      <c r="W458" s="139"/>
      <c r="X458" s="139"/>
      <c r="Y458" s="139"/>
      <c r="Z458" s="139"/>
      <c r="AA458" s="139"/>
      <c r="AB458" s="139"/>
      <c r="AC458" s="139"/>
      <c r="AD458" s="139"/>
      <c r="AE458" s="139"/>
      <c r="AF458" s="140"/>
      <c r="AG458" s="140"/>
      <c r="AH458" s="140"/>
      <c r="AI458" s="140"/>
      <c r="AJ458" s="140"/>
      <c r="AK458" s="140"/>
      <c r="AL458" s="140"/>
      <c r="AM458" s="140"/>
      <c r="AN458" s="140"/>
      <c r="AO458" s="140"/>
      <c r="AP458" s="140"/>
      <c r="AQ458" s="140"/>
      <c r="AR458" s="140"/>
      <c r="AS458" s="140"/>
      <c r="AT458" s="140"/>
      <c r="AU458" s="140"/>
      <c r="AV458" s="140"/>
      <c r="AW458" s="140"/>
      <c r="AX458" s="140"/>
      <c r="AY458" s="140"/>
      <c r="AZ458" s="140"/>
      <c r="BA458" s="140"/>
      <c r="BB458" s="140"/>
      <c r="BC458" s="140"/>
      <c r="BD458" s="140"/>
      <c r="BE458" s="140"/>
    </row>
    <row r="459" s="119" customFormat="1" ht="60" customHeight="1" outlineLevel="2" spans="1:57">
      <c r="A459" s="145">
        <f t="shared" ref="A459:A466" si="114">1+N(A458)</f>
        <v>1</v>
      </c>
      <c r="B459" s="158" t="s">
        <v>76</v>
      </c>
      <c r="C459" s="147" t="s">
        <v>258</v>
      </c>
      <c r="D459" s="148" t="s">
        <v>63</v>
      </c>
      <c r="E459" s="149">
        <f>156.476+156.476</f>
        <v>312.952</v>
      </c>
      <c r="F459" s="149">
        <f>S459*$S$1</f>
        <v>140</v>
      </c>
      <c r="G459" s="149">
        <f>Q459*(1+R459)*$Q$1</f>
        <v>682.5</v>
      </c>
      <c r="H459" s="149">
        <f>(T459+U459)*$T$1</f>
        <v>113.55</v>
      </c>
      <c r="I459" s="150">
        <f t="shared" ref="I459:I466" si="115">(F459+G459+H459)*$I$3</f>
        <v>93.605</v>
      </c>
      <c r="J459" s="151">
        <f t="shared" ref="J459:J466" si="116">ROUND(SUM(F459:I459),2)</f>
        <v>1029.66</v>
      </c>
      <c r="K459" s="152">
        <f t="shared" ref="K459:K466" si="117">ROUND(J459*E459,2)</f>
        <v>322234.16</v>
      </c>
      <c r="L459" s="178"/>
      <c r="M459" s="139">
        <v>1</v>
      </c>
      <c r="N459" s="139">
        <v>292938.72</v>
      </c>
      <c r="O459" s="139"/>
      <c r="P459" s="37">
        <f t="shared" ref="P459:P466" si="118">Q459+Q459*R459+S459+T459+U459</f>
        <v>936.05</v>
      </c>
      <c r="Q459" s="71">
        <v>650</v>
      </c>
      <c r="R459" s="157">
        <v>0.05</v>
      </c>
      <c r="S459" s="71">
        <v>140</v>
      </c>
      <c r="T459" s="71">
        <v>111.75</v>
      </c>
      <c r="U459" s="71">
        <v>1.8</v>
      </c>
      <c r="V459" s="37">
        <f t="shared" ref="V459:V466" si="119">P459*E459</f>
        <v>292938.7196</v>
      </c>
      <c r="W459" s="139"/>
      <c r="X459" s="139"/>
      <c r="Y459" s="139"/>
      <c r="Z459" s="139"/>
      <c r="AA459" s="139"/>
      <c r="AB459" s="139"/>
      <c r="AC459" s="139"/>
      <c r="AD459" s="139"/>
      <c r="AE459" s="139"/>
      <c r="AF459" s="140"/>
      <c r="AG459" s="140"/>
      <c r="AH459" s="140"/>
      <c r="AI459" s="140"/>
      <c r="AJ459" s="140"/>
      <c r="AK459" s="140"/>
      <c r="AL459" s="140"/>
      <c r="AM459" s="140"/>
      <c r="AN459" s="140"/>
      <c r="AO459" s="140"/>
      <c r="AP459" s="140"/>
      <c r="AQ459" s="140"/>
      <c r="AR459" s="140"/>
      <c r="AS459" s="140"/>
      <c r="AT459" s="140"/>
      <c r="AU459" s="140"/>
      <c r="AV459" s="140"/>
      <c r="AW459" s="140"/>
      <c r="AX459" s="140"/>
      <c r="AY459" s="140"/>
      <c r="AZ459" s="140"/>
      <c r="BA459" s="140"/>
      <c r="BB459" s="140"/>
      <c r="BC459" s="140"/>
      <c r="BD459" s="140"/>
      <c r="BE459" s="140"/>
    </row>
    <row r="460" s="119" customFormat="1" ht="60" customHeight="1" outlineLevel="2" spans="1:57">
      <c r="A460" s="145">
        <f t="shared" si="114"/>
        <v>2</v>
      </c>
      <c r="B460" s="146" t="s">
        <v>78</v>
      </c>
      <c r="C460" s="147" t="s">
        <v>259</v>
      </c>
      <c r="D460" s="148" t="s">
        <v>63</v>
      </c>
      <c r="E460" s="149">
        <v>43.084</v>
      </c>
      <c r="F460" s="149">
        <f>S460*$S$1</f>
        <v>140</v>
      </c>
      <c r="G460" s="149">
        <f>Q460*(1+R460)*$Q$1</f>
        <v>813.75</v>
      </c>
      <c r="H460" s="149">
        <f>(T460+U460)*$T$1</f>
        <v>113.55</v>
      </c>
      <c r="I460" s="150">
        <f t="shared" si="115"/>
        <v>106.73</v>
      </c>
      <c r="J460" s="151">
        <f t="shared" si="116"/>
        <v>1174.03</v>
      </c>
      <c r="K460" s="152">
        <f t="shared" si="117"/>
        <v>50581.91</v>
      </c>
      <c r="L460" s="178"/>
      <c r="M460" s="139">
        <v>1</v>
      </c>
      <c r="N460" s="139">
        <v>45983.55</v>
      </c>
      <c r="O460" s="139"/>
      <c r="P460" s="37">
        <f t="shared" si="118"/>
        <v>1067.3</v>
      </c>
      <c r="Q460" s="71">
        <v>775</v>
      </c>
      <c r="R460" s="157">
        <v>0.05</v>
      </c>
      <c r="S460" s="71">
        <v>140</v>
      </c>
      <c r="T460" s="71">
        <v>111.75</v>
      </c>
      <c r="U460" s="71">
        <v>1.8</v>
      </c>
      <c r="V460" s="37">
        <f t="shared" si="119"/>
        <v>45983.5532</v>
      </c>
      <c r="W460" s="139"/>
      <c r="X460" s="139"/>
      <c r="Y460" s="139"/>
      <c r="Z460" s="139"/>
      <c r="AA460" s="139"/>
      <c r="AB460" s="139"/>
      <c r="AC460" s="139"/>
      <c r="AD460" s="139"/>
      <c r="AE460" s="139"/>
      <c r="AF460" s="140"/>
      <c r="AG460" s="140"/>
      <c r="AH460" s="140"/>
      <c r="AI460" s="140"/>
      <c r="AJ460" s="140"/>
      <c r="AK460" s="140"/>
      <c r="AL460" s="140"/>
      <c r="AM460" s="140"/>
      <c r="AN460" s="140"/>
      <c r="AO460" s="140"/>
      <c r="AP460" s="140"/>
      <c r="AQ460" s="140"/>
      <c r="AR460" s="140"/>
      <c r="AS460" s="140"/>
      <c r="AT460" s="140"/>
      <c r="AU460" s="140"/>
      <c r="AV460" s="140"/>
      <c r="AW460" s="140"/>
      <c r="AX460" s="140"/>
      <c r="AY460" s="140"/>
      <c r="AZ460" s="140"/>
      <c r="BA460" s="140"/>
      <c r="BB460" s="140"/>
      <c r="BC460" s="140"/>
      <c r="BD460" s="140"/>
      <c r="BE460" s="140"/>
    </row>
    <row r="461" s="119" customFormat="1" ht="60" customHeight="1" outlineLevel="2" spans="1:57">
      <c r="A461" s="145">
        <f t="shared" si="114"/>
        <v>3</v>
      </c>
      <c r="B461" s="146" t="s">
        <v>260</v>
      </c>
      <c r="C461" s="147" t="s">
        <v>261</v>
      </c>
      <c r="D461" s="148" t="s">
        <v>63</v>
      </c>
      <c r="E461" s="149">
        <v>42.988</v>
      </c>
      <c r="F461" s="149">
        <f>S461*$S$1</f>
        <v>75</v>
      </c>
      <c r="G461" s="149">
        <f>Q461*(1+R461)*$Q$1</f>
        <v>1318.4</v>
      </c>
      <c r="H461" s="149">
        <f>(T461+U461)*$T$1</f>
        <v>124.95</v>
      </c>
      <c r="I461" s="150">
        <f t="shared" si="115"/>
        <v>151.835</v>
      </c>
      <c r="J461" s="151">
        <f t="shared" si="116"/>
        <v>1670.19</v>
      </c>
      <c r="K461" s="152">
        <f t="shared" si="117"/>
        <v>71798.13</v>
      </c>
      <c r="L461" s="178"/>
      <c r="M461" s="139">
        <v>1</v>
      </c>
      <c r="N461" s="139">
        <v>65270.83</v>
      </c>
      <c r="O461" s="139"/>
      <c r="P461" s="37">
        <f t="shared" si="118"/>
        <v>1518.35</v>
      </c>
      <c r="Q461" s="71">
        <v>1280</v>
      </c>
      <c r="R461" s="157">
        <v>0.03</v>
      </c>
      <c r="S461" s="71">
        <v>75</v>
      </c>
      <c r="T461" s="71">
        <v>123.75</v>
      </c>
      <c r="U461" s="71">
        <v>1.2</v>
      </c>
      <c r="V461" s="37">
        <f t="shared" si="119"/>
        <v>65270.8298</v>
      </c>
      <c r="W461" s="139"/>
      <c r="X461" s="139"/>
      <c r="Y461" s="139"/>
      <c r="Z461" s="139"/>
      <c r="AA461" s="139"/>
      <c r="AB461" s="139"/>
      <c r="AC461" s="139"/>
      <c r="AD461" s="139"/>
      <c r="AE461" s="139"/>
      <c r="AF461" s="140"/>
      <c r="AG461" s="140"/>
      <c r="AH461" s="140"/>
      <c r="AI461" s="140"/>
      <c r="AJ461" s="140"/>
      <c r="AK461" s="140"/>
      <c r="AL461" s="140"/>
      <c r="AM461" s="140"/>
      <c r="AN461" s="140"/>
      <c r="AO461" s="140"/>
      <c r="AP461" s="140"/>
      <c r="AQ461" s="140"/>
      <c r="AR461" s="140"/>
      <c r="AS461" s="140"/>
      <c r="AT461" s="140"/>
      <c r="AU461" s="140"/>
      <c r="AV461" s="140"/>
      <c r="AW461" s="140"/>
      <c r="AX461" s="140"/>
      <c r="AY461" s="140"/>
      <c r="AZ461" s="140"/>
      <c r="BA461" s="140"/>
      <c r="BB461" s="140"/>
      <c r="BC461" s="140"/>
      <c r="BD461" s="140"/>
      <c r="BE461" s="140"/>
    </row>
    <row r="462" s="119" customFormat="1" ht="60" customHeight="1" outlineLevel="2" spans="1:57">
      <c r="A462" s="162">
        <f t="shared" si="114"/>
        <v>4</v>
      </c>
      <c r="B462" s="14" t="s">
        <v>172</v>
      </c>
      <c r="C462" s="15" t="s">
        <v>173</v>
      </c>
      <c r="D462" s="142" t="s">
        <v>63</v>
      </c>
      <c r="E462" s="143">
        <v>0.673</v>
      </c>
      <c r="F462" s="143">
        <f>$F$179</f>
        <v>110</v>
      </c>
      <c r="G462" s="143">
        <f>$G$179</f>
        <v>85.5</v>
      </c>
      <c r="H462" s="143">
        <f>$H$179</f>
        <v>56.797</v>
      </c>
      <c r="I462" s="17">
        <f t="shared" si="115"/>
        <v>25.2297</v>
      </c>
      <c r="J462" s="18">
        <f t="shared" si="116"/>
        <v>277.53</v>
      </c>
      <c r="K462" s="19">
        <f t="shared" si="117"/>
        <v>186.78</v>
      </c>
      <c r="L462" s="178"/>
      <c r="M462" s="139">
        <v>1</v>
      </c>
      <c r="N462" s="139">
        <v>169.8</v>
      </c>
      <c r="O462" s="139"/>
      <c r="P462" s="37">
        <f t="shared" si="118"/>
        <v>252.297</v>
      </c>
      <c r="Q462" s="99">
        <f>$Q$179</f>
        <v>85.5</v>
      </c>
      <c r="R462" s="163">
        <f>$R$179</f>
        <v>0</v>
      </c>
      <c r="S462" s="99">
        <f>$S$179</f>
        <v>110</v>
      </c>
      <c r="T462" s="99">
        <f>$T$179</f>
        <v>55.997</v>
      </c>
      <c r="U462" s="99">
        <f>$U$179</f>
        <v>0.8</v>
      </c>
      <c r="V462" s="37">
        <f t="shared" si="119"/>
        <v>169.795881</v>
      </c>
      <c r="W462" s="139"/>
      <c r="X462" s="139"/>
      <c r="Y462" s="139"/>
      <c r="Z462" s="139"/>
      <c r="AA462" s="139"/>
      <c r="AB462" s="139"/>
      <c r="AC462" s="139"/>
      <c r="AD462" s="139"/>
      <c r="AE462" s="139"/>
      <c r="AF462" s="140"/>
      <c r="AG462" s="140"/>
      <c r="AH462" s="140"/>
      <c r="AI462" s="140"/>
      <c r="AJ462" s="140"/>
      <c r="AK462" s="140"/>
      <c r="AL462" s="140"/>
      <c r="AM462" s="140"/>
      <c r="AN462" s="140"/>
      <c r="AO462" s="140"/>
      <c r="AP462" s="140"/>
      <c r="AQ462" s="140"/>
      <c r="AR462" s="140"/>
      <c r="AS462" s="140"/>
      <c r="AT462" s="140"/>
      <c r="AU462" s="140"/>
      <c r="AV462" s="140"/>
      <c r="AW462" s="140"/>
      <c r="AX462" s="140"/>
      <c r="AY462" s="140"/>
      <c r="AZ462" s="140"/>
      <c r="BA462" s="140"/>
      <c r="BB462" s="140"/>
      <c r="BC462" s="140"/>
      <c r="BD462" s="140"/>
      <c r="BE462" s="140"/>
    </row>
    <row r="463" s="119" customFormat="1" ht="60" customHeight="1" outlineLevel="2" spans="1:57">
      <c r="A463" s="145">
        <f t="shared" si="114"/>
        <v>5</v>
      </c>
      <c r="B463" s="146" t="s">
        <v>174</v>
      </c>
      <c r="C463" s="147" t="s">
        <v>262</v>
      </c>
      <c r="D463" s="148" t="s">
        <v>63</v>
      </c>
      <c r="E463" s="149">
        <v>0.673</v>
      </c>
      <c r="F463" s="149">
        <f>S463*$S$1</f>
        <v>110</v>
      </c>
      <c r="G463" s="149">
        <f>Q463*(1+R463)*$Q$1</f>
        <v>87.55</v>
      </c>
      <c r="H463" s="149">
        <f>(T463+U463)*$T$1</f>
        <v>126.35</v>
      </c>
      <c r="I463" s="150">
        <f t="shared" si="115"/>
        <v>32.39</v>
      </c>
      <c r="J463" s="151">
        <f t="shared" si="116"/>
        <v>356.29</v>
      </c>
      <c r="K463" s="152">
        <f t="shared" si="117"/>
        <v>239.78</v>
      </c>
      <c r="L463" s="178"/>
      <c r="M463" s="139">
        <v>1</v>
      </c>
      <c r="N463" s="139">
        <v>217.98</v>
      </c>
      <c r="O463" s="139"/>
      <c r="P463" s="37">
        <f t="shared" si="118"/>
        <v>323.9</v>
      </c>
      <c r="Q463" s="71">
        <v>85</v>
      </c>
      <c r="R463" s="157">
        <v>0.03</v>
      </c>
      <c r="S463" s="71">
        <v>110</v>
      </c>
      <c r="T463" s="71">
        <v>125.75</v>
      </c>
      <c r="U463" s="71">
        <v>0.6</v>
      </c>
      <c r="V463" s="37">
        <f t="shared" si="119"/>
        <v>217.9847</v>
      </c>
      <c r="W463" s="139"/>
      <c r="X463" s="139"/>
      <c r="Y463" s="139"/>
      <c r="Z463" s="139"/>
      <c r="AA463" s="139"/>
      <c r="AB463" s="139"/>
      <c r="AC463" s="139"/>
      <c r="AD463" s="139"/>
      <c r="AE463" s="139"/>
      <c r="AF463" s="140"/>
      <c r="AG463" s="140"/>
      <c r="AH463" s="140"/>
      <c r="AI463" s="140"/>
      <c r="AJ463" s="140"/>
      <c r="AK463" s="140"/>
      <c r="AL463" s="140"/>
      <c r="AM463" s="140"/>
      <c r="AN463" s="140"/>
      <c r="AO463" s="140"/>
      <c r="AP463" s="140"/>
      <c r="AQ463" s="140"/>
      <c r="AR463" s="140"/>
      <c r="AS463" s="140"/>
      <c r="AT463" s="140"/>
      <c r="AU463" s="140"/>
      <c r="AV463" s="140"/>
      <c r="AW463" s="140"/>
      <c r="AX463" s="140"/>
      <c r="AY463" s="140"/>
      <c r="AZ463" s="140"/>
      <c r="BA463" s="140"/>
      <c r="BB463" s="140"/>
      <c r="BC463" s="140"/>
      <c r="BD463" s="140"/>
      <c r="BE463" s="140"/>
    </row>
    <row r="464" s="119" customFormat="1" ht="60" customHeight="1" outlineLevel="2" spans="1:57">
      <c r="A464" s="145">
        <f t="shared" si="114"/>
        <v>6</v>
      </c>
      <c r="B464" s="146" t="s">
        <v>263</v>
      </c>
      <c r="C464" s="147" t="s">
        <v>264</v>
      </c>
      <c r="D464" s="148" t="s">
        <v>63</v>
      </c>
      <c r="E464" s="149">
        <v>36.541</v>
      </c>
      <c r="F464" s="149">
        <f>S464*$S$1</f>
        <v>70</v>
      </c>
      <c r="G464" s="149">
        <f>Q464*(1+R464)*$Q$1</f>
        <v>0</v>
      </c>
      <c r="H464" s="149">
        <f>(T464+U464)*$T$1</f>
        <v>62</v>
      </c>
      <c r="I464" s="150">
        <f t="shared" si="115"/>
        <v>13.2</v>
      </c>
      <c r="J464" s="151">
        <f t="shared" si="116"/>
        <v>145.2</v>
      </c>
      <c r="K464" s="152">
        <f t="shared" si="117"/>
        <v>5305.75</v>
      </c>
      <c r="L464" s="178"/>
      <c r="M464" s="139">
        <v>1</v>
      </c>
      <c r="N464" s="139">
        <v>4823.41</v>
      </c>
      <c r="O464" s="139"/>
      <c r="P464" s="37">
        <f t="shared" si="118"/>
        <v>132</v>
      </c>
      <c r="Q464" s="71"/>
      <c r="R464" s="157">
        <v>0</v>
      </c>
      <c r="S464" s="71">
        <v>70</v>
      </c>
      <c r="T464" s="71">
        <v>60.5</v>
      </c>
      <c r="U464" s="71">
        <v>1.5</v>
      </c>
      <c r="V464" s="37">
        <f t="shared" si="119"/>
        <v>4823.412</v>
      </c>
      <c r="W464" s="139"/>
      <c r="X464" s="139"/>
      <c r="Y464" s="139"/>
      <c r="Z464" s="139"/>
      <c r="AA464" s="139"/>
      <c r="AB464" s="139"/>
      <c r="AC464" s="139"/>
      <c r="AD464" s="139"/>
      <c r="AE464" s="139"/>
      <c r="AF464" s="140"/>
      <c r="AG464" s="140"/>
      <c r="AH464" s="140"/>
      <c r="AI464" s="140"/>
      <c r="AJ464" s="140"/>
      <c r="AK464" s="140"/>
      <c r="AL464" s="140"/>
      <c r="AM464" s="140"/>
      <c r="AN464" s="140"/>
      <c r="AO464" s="140"/>
      <c r="AP464" s="140"/>
      <c r="AQ464" s="140"/>
      <c r="AR464" s="140"/>
      <c r="AS464" s="140"/>
      <c r="AT464" s="140"/>
      <c r="AU464" s="140"/>
      <c r="AV464" s="140"/>
      <c r="AW464" s="140"/>
      <c r="AX464" s="140"/>
      <c r="AY464" s="140"/>
      <c r="AZ464" s="140"/>
      <c r="BA464" s="140"/>
      <c r="BB464" s="140"/>
      <c r="BC464" s="140"/>
      <c r="BD464" s="140"/>
      <c r="BE464" s="140"/>
    </row>
    <row r="465" s="119" customFormat="1" ht="60" customHeight="1" outlineLevel="2" spans="1:57">
      <c r="A465" s="162">
        <f t="shared" si="114"/>
        <v>7</v>
      </c>
      <c r="B465" s="14" t="s">
        <v>91</v>
      </c>
      <c r="C465" s="15" t="s">
        <v>92</v>
      </c>
      <c r="D465" s="142" t="s">
        <v>70</v>
      </c>
      <c r="E465" s="143">
        <v>87.516</v>
      </c>
      <c r="F465" s="143">
        <f>$F$22</f>
        <v>12</v>
      </c>
      <c r="G465" s="143">
        <f>$G$22</f>
        <v>25.75</v>
      </c>
      <c r="H465" s="143">
        <f>$H$22</f>
        <v>3.8</v>
      </c>
      <c r="I465" s="17">
        <f t="shared" si="115"/>
        <v>4.155</v>
      </c>
      <c r="J465" s="18">
        <f t="shared" si="116"/>
        <v>45.71</v>
      </c>
      <c r="K465" s="19">
        <f t="shared" si="117"/>
        <v>4000.36</v>
      </c>
      <c r="L465" s="178"/>
      <c r="M465" s="139">
        <v>1</v>
      </c>
      <c r="N465" s="139">
        <v>3636.29</v>
      </c>
      <c r="O465" s="139"/>
      <c r="P465" s="37">
        <f t="shared" si="118"/>
        <v>41.55</v>
      </c>
      <c r="Q465" s="99">
        <f>$Q$22</f>
        <v>25</v>
      </c>
      <c r="R465" s="163">
        <f>$R$22</f>
        <v>0.03</v>
      </c>
      <c r="S465" s="99">
        <f>$S$22</f>
        <v>12</v>
      </c>
      <c r="T465" s="99">
        <f>$T$22</f>
        <v>3.5</v>
      </c>
      <c r="U465" s="99">
        <f>$U$22</f>
        <v>0.3</v>
      </c>
      <c r="V465" s="37">
        <f t="shared" si="119"/>
        <v>3636.2898</v>
      </c>
      <c r="W465" s="139"/>
      <c r="X465" s="139"/>
      <c r="Y465" s="139"/>
      <c r="Z465" s="139"/>
      <c r="AA465" s="139"/>
      <c r="AB465" s="139"/>
      <c r="AC465" s="139"/>
      <c r="AD465" s="139"/>
      <c r="AE465" s="139"/>
      <c r="AF465" s="140"/>
      <c r="AG465" s="140"/>
      <c r="AH465" s="140"/>
      <c r="AI465" s="140"/>
      <c r="AJ465" s="140"/>
      <c r="AK465" s="140"/>
      <c r="AL465" s="140"/>
      <c r="AM465" s="140"/>
      <c r="AN465" s="140"/>
      <c r="AO465" s="140"/>
      <c r="AP465" s="140"/>
      <c r="AQ465" s="140"/>
      <c r="AR465" s="140"/>
      <c r="AS465" s="140"/>
      <c r="AT465" s="140"/>
      <c r="AU465" s="140"/>
      <c r="AV465" s="140"/>
      <c r="AW465" s="140"/>
      <c r="AX465" s="140"/>
      <c r="AY465" s="140"/>
      <c r="AZ465" s="140"/>
      <c r="BA465" s="140"/>
      <c r="BB465" s="140"/>
      <c r="BC465" s="140"/>
      <c r="BD465" s="140"/>
      <c r="BE465" s="140"/>
    </row>
    <row r="466" s="119" customFormat="1" ht="60" customHeight="1" outlineLevel="2" spans="1:57">
      <c r="A466" s="162">
        <f t="shared" si="114"/>
        <v>8</v>
      </c>
      <c r="B466" s="14" t="s">
        <v>239</v>
      </c>
      <c r="C466" s="15" t="s">
        <v>240</v>
      </c>
      <c r="D466" s="165" t="s">
        <v>63</v>
      </c>
      <c r="E466" s="143">
        <f>+((2+2.6)*2+(1.95+1.95)*2+(1.95+2)*2)*0.095</f>
        <v>2.3655</v>
      </c>
      <c r="F466" s="143">
        <f>$F$356</f>
        <v>110</v>
      </c>
      <c r="G466" s="143">
        <f>$G$356</f>
        <v>454.5</v>
      </c>
      <c r="H466" s="143">
        <f>$H$356</f>
        <v>55.2</v>
      </c>
      <c r="I466" s="17">
        <f t="shared" si="115"/>
        <v>61.97</v>
      </c>
      <c r="J466" s="18">
        <f t="shared" si="116"/>
        <v>681.67</v>
      </c>
      <c r="K466" s="19">
        <f t="shared" si="117"/>
        <v>1612.49</v>
      </c>
      <c r="L466" s="178"/>
      <c r="M466" s="139">
        <v>1</v>
      </c>
      <c r="N466" s="139">
        <v>1465.9</v>
      </c>
      <c r="O466" s="139"/>
      <c r="P466" s="37">
        <f t="shared" si="118"/>
        <v>619.7</v>
      </c>
      <c r="Q466" s="99">
        <f>$Q$356</f>
        <v>450</v>
      </c>
      <c r="R466" s="163">
        <f>$R$356</f>
        <v>0.01</v>
      </c>
      <c r="S466" s="99">
        <f>$S$356</f>
        <v>110</v>
      </c>
      <c r="T466" s="99">
        <f>$T$356</f>
        <v>54</v>
      </c>
      <c r="U466" s="99">
        <f>$U$356</f>
        <v>1.2</v>
      </c>
      <c r="V466" s="37">
        <f t="shared" si="119"/>
        <v>1465.90035</v>
      </c>
      <c r="W466" s="139"/>
      <c r="X466" s="139"/>
      <c r="Y466" s="139"/>
      <c r="Z466" s="139"/>
      <c r="AA466" s="139"/>
      <c r="AB466" s="139"/>
      <c r="AC466" s="139"/>
      <c r="AD466" s="139"/>
      <c r="AE466" s="139"/>
      <c r="AF466" s="140"/>
      <c r="AG466" s="140"/>
      <c r="AH466" s="140"/>
      <c r="AI466" s="140"/>
      <c r="AJ466" s="140"/>
      <c r="AK466" s="140"/>
      <c r="AL466" s="140"/>
      <c r="AM466" s="140"/>
      <c r="AN466" s="140"/>
      <c r="AO466" s="140"/>
      <c r="AP466" s="140"/>
      <c r="AQ466" s="140"/>
      <c r="AR466" s="140"/>
      <c r="AS466" s="140"/>
      <c r="AT466" s="140"/>
      <c r="AU466" s="140"/>
      <c r="AV466" s="140"/>
      <c r="AW466" s="140"/>
      <c r="AX466" s="140"/>
      <c r="AY466" s="140"/>
      <c r="AZ466" s="140"/>
      <c r="BA466" s="140"/>
      <c r="BB466" s="140"/>
      <c r="BC466" s="140"/>
      <c r="BD466" s="140"/>
      <c r="BE466" s="140"/>
    </row>
    <row r="467" s="119" customFormat="1" ht="24" customHeight="1" outlineLevel="1" spans="1:57">
      <c r="A467" s="141"/>
      <c r="B467" s="14" t="s">
        <v>101</v>
      </c>
      <c r="C467" s="15"/>
      <c r="D467" s="142"/>
      <c r="E467" s="143"/>
      <c r="F467" s="143"/>
      <c r="G467" s="143"/>
      <c r="H467" s="143"/>
      <c r="I467" s="143"/>
      <c r="J467" s="143"/>
      <c r="K467" s="144"/>
      <c r="L467" s="178"/>
      <c r="M467" s="139"/>
      <c r="N467" s="139"/>
      <c r="O467" s="139"/>
      <c r="P467" s="137"/>
      <c r="Q467" s="137"/>
      <c r="R467" s="138"/>
      <c r="S467" s="137"/>
      <c r="T467" s="137"/>
      <c r="U467" s="137"/>
      <c r="V467" s="137"/>
      <c r="W467" s="139"/>
      <c r="X467" s="139"/>
      <c r="Y467" s="139"/>
      <c r="Z467" s="139"/>
      <c r="AA467" s="139"/>
      <c r="AB467" s="139"/>
      <c r="AC467" s="139"/>
      <c r="AD467" s="139"/>
      <c r="AE467" s="139"/>
      <c r="AF467" s="140"/>
      <c r="AG467" s="140"/>
      <c r="AH467" s="140"/>
      <c r="AI467" s="140"/>
      <c r="AJ467" s="140"/>
      <c r="AK467" s="140"/>
      <c r="AL467" s="140"/>
      <c r="AM467" s="140"/>
      <c r="AN467" s="140"/>
      <c r="AO467" s="140"/>
      <c r="AP467" s="140"/>
      <c r="AQ467" s="140"/>
      <c r="AR467" s="140"/>
      <c r="AS467" s="140"/>
      <c r="AT467" s="140"/>
      <c r="AU467" s="140"/>
      <c r="AV467" s="140"/>
      <c r="AW467" s="140"/>
      <c r="AX467" s="140"/>
      <c r="AY467" s="140"/>
      <c r="AZ467" s="140"/>
      <c r="BA467" s="140"/>
      <c r="BB467" s="140"/>
      <c r="BC467" s="140"/>
      <c r="BD467" s="140"/>
      <c r="BE467" s="140"/>
    </row>
    <row r="468" s="119" customFormat="1" ht="72" customHeight="1" outlineLevel="2" spans="1:57">
      <c r="A468" s="145">
        <f t="shared" ref="A468:A475" si="120">1+N(A467)</f>
        <v>1</v>
      </c>
      <c r="B468" s="146" t="s">
        <v>102</v>
      </c>
      <c r="C468" s="161" t="s">
        <v>265</v>
      </c>
      <c r="D468" s="148" t="s">
        <v>63</v>
      </c>
      <c r="E468" s="149">
        <f>5.36+85.43+24.83-15.2</f>
        <v>100.42</v>
      </c>
      <c r="F468" s="149">
        <f>S468*$S$1</f>
        <v>75</v>
      </c>
      <c r="G468" s="149">
        <f>Q468*(1+R468)*$Q$1</f>
        <v>0</v>
      </c>
      <c r="H468" s="149">
        <f>(T468+U468)*$T$1</f>
        <v>66.711</v>
      </c>
      <c r="I468" s="150">
        <f t="shared" ref="I468:I475" si="121">(F468+G468+H468)*$I$3</f>
        <v>14.1711</v>
      </c>
      <c r="J468" s="151">
        <f t="shared" ref="J468:J475" si="122">ROUND(SUM(F468:I468),2)</f>
        <v>155.88</v>
      </c>
      <c r="K468" s="152">
        <f t="shared" ref="K468:K475" si="123">ROUND(J468*E468,2)</f>
        <v>15653.47</v>
      </c>
      <c r="L468" s="178"/>
      <c r="M468" s="139">
        <v>1</v>
      </c>
      <c r="N468" s="139">
        <v>14230.52</v>
      </c>
      <c r="O468" s="139"/>
      <c r="P468" s="37">
        <f t="shared" ref="P468:P475" si="124">Q468+Q468*R468+S468+T468+U468</f>
        <v>141.711</v>
      </c>
      <c r="Q468" s="71"/>
      <c r="R468" s="157">
        <v>0.01</v>
      </c>
      <c r="S468" s="71">
        <v>75</v>
      </c>
      <c r="T468" s="71">
        <v>64.711</v>
      </c>
      <c r="U468" s="71">
        <v>2</v>
      </c>
      <c r="V468" s="37">
        <f t="shared" ref="V468:V475" si="125">P468*E468</f>
        <v>14230.61862</v>
      </c>
      <c r="W468" s="139"/>
      <c r="X468" s="139"/>
      <c r="Y468" s="139"/>
      <c r="Z468" s="139"/>
      <c r="AA468" s="139"/>
      <c r="AB468" s="139"/>
      <c r="AC468" s="139"/>
      <c r="AD468" s="139"/>
      <c r="AE468" s="139"/>
      <c r="AF468" s="140"/>
      <c r="AG468" s="140"/>
      <c r="AH468" s="140"/>
      <c r="AI468" s="140"/>
      <c r="AJ468" s="140"/>
      <c r="AK468" s="140"/>
      <c r="AL468" s="140"/>
      <c r="AM468" s="140"/>
      <c r="AN468" s="140"/>
      <c r="AO468" s="140"/>
      <c r="AP468" s="140"/>
      <c r="AQ468" s="140"/>
      <c r="AR468" s="140"/>
      <c r="AS468" s="140"/>
      <c r="AT468" s="140"/>
      <c r="AU468" s="140"/>
      <c r="AV468" s="140"/>
      <c r="AW468" s="140"/>
      <c r="AX468" s="140"/>
      <c r="AY468" s="140"/>
      <c r="AZ468" s="140"/>
      <c r="BA468" s="140"/>
      <c r="BB468" s="140"/>
      <c r="BC468" s="140"/>
      <c r="BD468" s="140"/>
      <c r="BE468" s="140"/>
    </row>
    <row r="469" s="119" customFormat="1" ht="72" customHeight="1" outlineLevel="2" spans="1:57">
      <c r="A469" s="145">
        <f t="shared" si="120"/>
        <v>2</v>
      </c>
      <c r="B469" s="146" t="s">
        <v>266</v>
      </c>
      <c r="C469" s="161" t="s">
        <v>267</v>
      </c>
      <c r="D469" s="148" t="s">
        <v>63</v>
      </c>
      <c r="E469" s="149">
        <v>15.2</v>
      </c>
      <c r="F469" s="149">
        <f>S469*$S$1</f>
        <v>75</v>
      </c>
      <c r="G469" s="149">
        <f>Q469*(1+R469)*$Q$1</f>
        <v>330</v>
      </c>
      <c r="H469" s="149">
        <f>(T469+U469)*$T$1</f>
        <v>28</v>
      </c>
      <c r="I469" s="150">
        <f t="shared" si="121"/>
        <v>43.3</v>
      </c>
      <c r="J469" s="151">
        <f t="shared" si="122"/>
        <v>476.3</v>
      </c>
      <c r="K469" s="152">
        <f t="shared" si="123"/>
        <v>7239.76</v>
      </c>
      <c r="L469" s="178"/>
      <c r="M469" s="139">
        <v>1</v>
      </c>
      <c r="N469" s="139">
        <v>6581.6</v>
      </c>
      <c r="O469" s="139"/>
      <c r="P469" s="37">
        <f t="shared" si="124"/>
        <v>433</v>
      </c>
      <c r="Q469" s="71">
        <v>330</v>
      </c>
      <c r="R469" s="157">
        <v>0</v>
      </c>
      <c r="S469" s="71">
        <v>75</v>
      </c>
      <c r="T469" s="71">
        <v>25</v>
      </c>
      <c r="U469" s="71">
        <v>3</v>
      </c>
      <c r="V469" s="37">
        <f t="shared" si="125"/>
        <v>6581.6</v>
      </c>
      <c r="W469" s="139"/>
      <c r="X469" s="139"/>
      <c r="Y469" s="139"/>
      <c r="Z469" s="139"/>
      <c r="AA469" s="139"/>
      <c r="AB469" s="139"/>
      <c r="AC469" s="139"/>
      <c r="AD469" s="139"/>
      <c r="AE469" s="139"/>
      <c r="AF469" s="140"/>
      <c r="AG469" s="140"/>
      <c r="AH469" s="140"/>
      <c r="AI469" s="140"/>
      <c r="AJ469" s="140"/>
      <c r="AK469" s="140"/>
      <c r="AL469" s="140"/>
      <c r="AM469" s="140"/>
      <c r="AN469" s="140"/>
      <c r="AO469" s="140"/>
      <c r="AP469" s="140"/>
      <c r="AQ469" s="140"/>
      <c r="AR469" s="140"/>
      <c r="AS469" s="140"/>
      <c r="AT469" s="140"/>
      <c r="AU469" s="140"/>
      <c r="AV469" s="140"/>
      <c r="AW469" s="140"/>
      <c r="AX469" s="140"/>
      <c r="AY469" s="140"/>
      <c r="AZ469" s="140"/>
      <c r="BA469" s="140"/>
      <c r="BB469" s="140"/>
      <c r="BC469" s="140"/>
      <c r="BD469" s="140"/>
      <c r="BE469" s="140"/>
    </row>
    <row r="470" s="119" customFormat="1" ht="60" customHeight="1" outlineLevel="2" spans="1:57">
      <c r="A470" s="162">
        <f t="shared" si="120"/>
        <v>3</v>
      </c>
      <c r="B470" s="14" t="s">
        <v>108</v>
      </c>
      <c r="C470" s="15" t="s">
        <v>109</v>
      </c>
      <c r="D470" s="142" t="s">
        <v>70</v>
      </c>
      <c r="E470" s="143">
        <f>1.2*4*2</f>
        <v>9.6</v>
      </c>
      <c r="F470" s="143">
        <f>$F$31</f>
        <v>30</v>
      </c>
      <c r="G470" s="143">
        <f>$G$31</f>
        <v>65.6625</v>
      </c>
      <c r="H470" s="143">
        <f>$H$31</f>
        <v>2.7</v>
      </c>
      <c r="I470" s="17">
        <f t="shared" si="121"/>
        <v>9.83625</v>
      </c>
      <c r="J470" s="18">
        <f t="shared" si="122"/>
        <v>108.2</v>
      </c>
      <c r="K470" s="19">
        <f t="shared" si="123"/>
        <v>1038.72</v>
      </c>
      <c r="L470" s="178"/>
      <c r="M470" s="139">
        <v>1</v>
      </c>
      <c r="N470" s="139">
        <v>944.26</v>
      </c>
      <c r="O470" s="139"/>
      <c r="P470" s="37">
        <f t="shared" si="124"/>
        <v>98.3625</v>
      </c>
      <c r="Q470" s="99">
        <f>$Q$31</f>
        <v>63.75</v>
      </c>
      <c r="R470" s="163">
        <f>$R$31</f>
        <v>0.03</v>
      </c>
      <c r="S470" s="99">
        <f>$S$31</f>
        <v>30</v>
      </c>
      <c r="T470" s="99">
        <f>$T$31</f>
        <v>2.5</v>
      </c>
      <c r="U470" s="99">
        <f>$U$31</f>
        <v>0.2</v>
      </c>
      <c r="V470" s="37">
        <f t="shared" si="125"/>
        <v>944.28</v>
      </c>
      <c r="W470" s="139"/>
      <c r="X470" s="139"/>
      <c r="Y470" s="139"/>
      <c r="Z470" s="139"/>
      <c r="AA470" s="139"/>
      <c r="AB470" s="139"/>
      <c r="AC470" s="139"/>
      <c r="AD470" s="139"/>
      <c r="AE470" s="139"/>
      <c r="AF470" s="140"/>
      <c r="AG470" s="140"/>
      <c r="AH470" s="140"/>
      <c r="AI470" s="140"/>
      <c r="AJ470" s="140"/>
      <c r="AK470" s="140"/>
      <c r="AL470" s="140"/>
      <c r="AM470" s="140"/>
      <c r="AN470" s="140"/>
      <c r="AO470" s="140"/>
      <c r="AP470" s="140"/>
      <c r="AQ470" s="140"/>
      <c r="AR470" s="140"/>
      <c r="AS470" s="140"/>
      <c r="AT470" s="140"/>
      <c r="AU470" s="140"/>
      <c r="AV470" s="140"/>
      <c r="AW470" s="140"/>
      <c r="AX470" s="140"/>
      <c r="AY470" s="140"/>
      <c r="AZ470" s="140"/>
      <c r="BA470" s="140"/>
      <c r="BB470" s="140"/>
      <c r="BC470" s="140"/>
      <c r="BD470" s="140"/>
      <c r="BE470" s="140"/>
    </row>
    <row r="471" s="119" customFormat="1" ht="60" customHeight="1" outlineLevel="2" spans="1:57">
      <c r="A471" s="162">
        <f t="shared" si="120"/>
        <v>4</v>
      </c>
      <c r="B471" s="14" t="s">
        <v>104</v>
      </c>
      <c r="C471" s="15" t="s">
        <v>105</v>
      </c>
      <c r="D471" s="142" t="s">
        <v>70</v>
      </c>
      <c r="E471" s="143">
        <v>44.85</v>
      </c>
      <c r="F471" s="143">
        <f>$F$29</f>
        <v>50</v>
      </c>
      <c r="G471" s="143">
        <f>$G$29</f>
        <v>0</v>
      </c>
      <c r="H471" s="143">
        <f>$H$29</f>
        <v>22.0941</v>
      </c>
      <c r="I471" s="17">
        <f t="shared" si="121"/>
        <v>7.20941</v>
      </c>
      <c r="J471" s="18">
        <f t="shared" si="122"/>
        <v>79.3</v>
      </c>
      <c r="K471" s="19">
        <f t="shared" si="123"/>
        <v>3556.61</v>
      </c>
      <c r="L471" s="178"/>
      <c r="M471" s="139">
        <v>1</v>
      </c>
      <c r="N471" s="139">
        <v>3233.24</v>
      </c>
      <c r="O471" s="139"/>
      <c r="P471" s="37">
        <f t="shared" si="124"/>
        <v>72.0941</v>
      </c>
      <c r="Q471" s="99">
        <f>$Q$29</f>
        <v>0</v>
      </c>
      <c r="R471" s="163">
        <f>$R$29</f>
        <v>0.01</v>
      </c>
      <c r="S471" s="99">
        <f>$S$29</f>
        <v>50</v>
      </c>
      <c r="T471" s="99">
        <f>$T$29</f>
        <v>22.0941</v>
      </c>
      <c r="U471" s="99">
        <f>$U$29</f>
        <v>0</v>
      </c>
      <c r="V471" s="37">
        <f t="shared" si="125"/>
        <v>3233.420385</v>
      </c>
      <c r="W471" s="139"/>
      <c r="X471" s="139"/>
      <c r="Y471" s="139"/>
      <c r="Z471" s="139"/>
      <c r="AA471" s="139"/>
      <c r="AB471" s="139"/>
      <c r="AC471" s="139"/>
      <c r="AD471" s="139"/>
      <c r="AE471" s="139"/>
      <c r="AF471" s="140"/>
      <c r="AG471" s="140"/>
      <c r="AH471" s="140"/>
      <c r="AI471" s="140"/>
      <c r="AJ471" s="140"/>
      <c r="AK471" s="140"/>
      <c r="AL471" s="140"/>
      <c r="AM471" s="140"/>
      <c r="AN471" s="140"/>
      <c r="AO471" s="140"/>
      <c r="AP471" s="140"/>
      <c r="AQ471" s="140"/>
      <c r="AR471" s="140"/>
      <c r="AS471" s="140"/>
      <c r="AT471" s="140"/>
      <c r="AU471" s="140"/>
      <c r="AV471" s="140"/>
      <c r="AW471" s="140"/>
      <c r="AX471" s="140"/>
      <c r="AY471" s="140"/>
      <c r="AZ471" s="140"/>
      <c r="BA471" s="140"/>
      <c r="BB471" s="140"/>
      <c r="BC471" s="140"/>
      <c r="BD471" s="140"/>
      <c r="BE471" s="140"/>
    </row>
    <row r="472" s="119" customFormat="1" ht="60" customHeight="1" outlineLevel="2" spans="1:57">
      <c r="A472" s="145">
        <f t="shared" si="120"/>
        <v>5</v>
      </c>
      <c r="B472" s="146" t="s">
        <v>268</v>
      </c>
      <c r="C472" s="147" t="s">
        <v>269</v>
      </c>
      <c r="D472" s="148" t="s">
        <v>70</v>
      </c>
      <c r="E472" s="149">
        <v>9.56</v>
      </c>
      <c r="F472" s="149">
        <f>S472*$S$1</f>
        <v>55</v>
      </c>
      <c r="G472" s="149">
        <f>Q472*(1+R472)*$Q$1</f>
        <v>0</v>
      </c>
      <c r="H472" s="149">
        <f>(T472+U472)*$T$1</f>
        <v>29.6688</v>
      </c>
      <c r="I472" s="150">
        <f t="shared" si="121"/>
        <v>8.46688</v>
      </c>
      <c r="J472" s="151">
        <f t="shared" si="122"/>
        <v>93.14</v>
      </c>
      <c r="K472" s="152">
        <f t="shared" si="123"/>
        <v>890.42</v>
      </c>
      <c r="L472" s="178"/>
      <c r="M472" s="139">
        <v>1</v>
      </c>
      <c r="N472" s="139">
        <v>809.45</v>
      </c>
      <c r="O472" s="139"/>
      <c r="P472" s="37">
        <f t="shared" si="124"/>
        <v>84.6688</v>
      </c>
      <c r="Q472" s="71"/>
      <c r="R472" s="157">
        <v>0.01</v>
      </c>
      <c r="S472" s="71">
        <v>55</v>
      </c>
      <c r="T472" s="71">
        <v>29.6688</v>
      </c>
      <c r="U472" s="71"/>
      <c r="V472" s="37">
        <f t="shared" si="125"/>
        <v>809.433728</v>
      </c>
      <c r="W472" s="139"/>
      <c r="X472" s="139"/>
      <c r="Y472" s="139"/>
      <c r="Z472" s="139"/>
      <c r="AA472" s="139"/>
      <c r="AB472" s="139"/>
      <c r="AC472" s="139"/>
      <c r="AD472" s="139"/>
      <c r="AE472" s="139"/>
      <c r="AF472" s="140"/>
      <c r="AG472" s="140"/>
      <c r="AH472" s="140"/>
      <c r="AI472" s="140"/>
      <c r="AJ472" s="140"/>
      <c r="AK472" s="140"/>
      <c r="AL472" s="140"/>
      <c r="AM472" s="140"/>
      <c r="AN472" s="140"/>
      <c r="AO472" s="140"/>
      <c r="AP472" s="140"/>
      <c r="AQ472" s="140"/>
      <c r="AR472" s="140"/>
      <c r="AS472" s="140"/>
      <c r="AT472" s="140"/>
      <c r="AU472" s="140"/>
      <c r="AV472" s="140"/>
      <c r="AW472" s="140"/>
      <c r="AX472" s="140"/>
      <c r="AY472" s="140"/>
      <c r="AZ472" s="140"/>
      <c r="BA472" s="140"/>
      <c r="BB472" s="140"/>
      <c r="BC472" s="140"/>
      <c r="BD472" s="140"/>
      <c r="BE472" s="140"/>
    </row>
    <row r="473" s="119" customFormat="1" ht="60" customHeight="1" outlineLevel="2" spans="1:57">
      <c r="A473" s="162">
        <f t="shared" si="120"/>
        <v>6</v>
      </c>
      <c r="B473" s="14" t="s">
        <v>106</v>
      </c>
      <c r="C473" s="15" t="s">
        <v>107</v>
      </c>
      <c r="D473" s="142" t="s">
        <v>70</v>
      </c>
      <c r="E473" s="143">
        <v>44.85</v>
      </c>
      <c r="F473" s="143">
        <f>$F$30</f>
        <v>18</v>
      </c>
      <c r="G473" s="143">
        <f>$G$30</f>
        <v>163.255</v>
      </c>
      <c r="H473" s="143">
        <f>$H$30</f>
        <v>3.8</v>
      </c>
      <c r="I473" s="17">
        <f t="shared" si="121"/>
        <v>18.5055</v>
      </c>
      <c r="J473" s="18">
        <f t="shared" si="122"/>
        <v>203.56</v>
      </c>
      <c r="K473" s="19">
        <f t="shared" si="123"/>
        <v>9129.67</v>
      </c>
      <c r="L473" s="178"/>
      <c r="M473" s="139">
        <v>1</v>
      </c>
      <c r="N473" s="139">
        <v>8299.94</v>
      </c>
      <c r="O473" s="139"/>
      <c r="P473" s="37">
        <f t="shared" si="124"/>
        <v>185.055</v>
      </c>
      <c r="Q473" s="99">
        <f>$Q$30</f>
        <v>158.5</v>
      </c>
      <c r="R473" s="163">
        <f>$R$30</f>
        <v>0.03</v>
      </c>
      <c r="S473" s="99">
        <f>$S$30</f>
        <v>18</v>
      </c>
      <c r="T473" s="99">
        <f>$T$30</f>
        <v>3.5</v>
      </c>
      <c r="U473" s="99">
        <f>$U$30</f>
        <v>0.3</v>
      </c>
      <c r="V473" s="37">
        <f t="shared" si="125"/>
        <v>8299.71675</v>
      </c>
      <c r="W473" s="139"/>
      <c r="X473" s="139"/>
      <c r="Y473" s="139"/>
      <c r="Z473" s="139"/>
      <c r="AA473" s="139"/>
      <c r="AB473" s="139"/>
      <c r="AC473" s="139"/>
      <c r="AD473" s="139"/>
      <c r="AE473" s="139"/>
      <c r="AF473" s="140"/>
      <c r="AG473" s="140"/>
      <c r="AH473" s="140"/>
      <c r="AI473" s="140"/>
      <c r="AJ473" s="140"/>
      <c r="AK473" s="140"/>
      <c r="AL473" s="140"/>
      <c r="AM473" s="140"/>
      <c r="AN473" s="140"/>
      <c r="AO473" s="140"/>
      <c r="AP473" s="140"/>
      <c r="AQ473" s="140"/>
      <c r="AR473" s="140"/>
      <c r="AS473" s="140"/>
      <c r="AT473" s="140"/>
      <c r="AU473" s="140"/>
      <c r="AV473" s="140"/>
      <c r="AW473" s="140"/>
      <c r="AX473" s="140"/>
      <c r="AY473" s="140"/>
      <c r="AZ473" s="140"/>
      <c r="BA473" s="140"/>
      <c r="BB473" s="140"/>
      <c r="BC473" s="140"/>
      <c r="BD473" s="140"/>
      <c r="BE473" s="140"/>
    </row>
    <row r="474" s="119" customFormat="1" ht="72" customHeight="1" outlineLevel="2" spans="1:57">
      <c r="A474" s="162">
        <f t="shared" si="120"/>
        <v>7</v>
      </c>
      <c r="B474" s="14" t="s">
        <v>110</v>
      </c>
      <c r="C474" s="15" t="s">
        <v>111</v>
      </c>
      <c r="D474" s="142" t="s">
        <v>63</v>
      </c>
      <c r="E474" s="143">
        <f>115.62+44.85*0.3+9.56*0.4</f>
        <v>132.899</v>
      </c>
      <c r="F474" s="143">
        <f>$F$32</f>
        <v>45</v>
      </c>
      <c r="G474" s="143">
        <f>$G$32</f>
        <v>85.5</v>
      </c>
      <c r="H474" s="143">
        <f>$H$32</f>
        <v>7.3</v>
      </c>
      <c r="I474" s="17">
        <f t="shared" si="121"/>
        <v>13.78</v>
      </c>
      <c r="J474" s="18">
        <f t="shared" si="122"/>
        <v>151.58</v>
      </c>
      <c r="K474" s="19">
        <f t="shared" si="123"/>
        <v>20144.83</v>
      </c>
      <c r="L474" s="178"/>
      <c r="M474" s="139">
        <v>1</v>
      </c>
      <c r="N474" s="139">
        <v>18313.48</v>
      </c>
      <c r="O474" s="139"/>
      <c r="P474" s="37">
        <f t="shared" si="124"/>
        <v>137.8</v>
      </c>
      <c r="Q474" s="99">
        <f>$Q$32</f>
        <v>85.5</v>
      </c>
      <c r="R474" s="163">
        <f>$R$32</f>
        <v>0</v>
      </c>
      <c r="S474" s="99">
        <f>$S$32</f>
        <v>45</v>
      </c>
      <c r="T474" s="99">
        <f>$T$32</f>
        <v>6.5</v>
      </c>
      <c r="U474" s="99">
        <f>$U$32</f>
        <v>0.8</v>
      </c>
      <c r="V474" s="37">
        <f t="shared" si="125"/>
        <v>18313.4822</v>
      </c>
      <c r="W474" s="139"/>
      <c r="X474" s="139"/>
      <c r="Y474" s="139"/>
      <c r="Z474" s="139"/>
      <c r="AA474" s="139"/>
      <c r="AB474" s="139"/>
      <c r="AC474" s="139"/>
      <c r="AD474" s="139"/>
      <c r="AE474" s="139"/>
      <c r="AF474" s="140"/>
      <c r="AG474" s="140"/>
      <c r="AH474" s="140"/>
      <c r="AI474" s="140"/>
      <c r="AJ474" s="140"/>
      <c r="AK474" s="140"/>
      <c r="AL474" s="140"/>
      <c r="AM474" s="140"/>
      <c r="AN474" s="140"/>
      <c r="AO474" s="140"/>
      <c r="AP474" s="140"/>
      <c r="AQ474" s="140"/>
      <c r="AR474" s="140"/>
      <c r="AS474" s="140"/>
      <c r="AT474" s="140"/>
      <c r="AU474" s="140"/>
      <c r="AV474" s="140"/>
      <c r="AW474" s="140"/>
      <c r="AX474" s="140"/>
      <c r="AY474" s="140"/>
      <c r="AZ474" s="140"/>
      <c r="BA474" s="140"/>
      <c r="BB474" s="140"/>
      <c r="BC474" s="140"/>
      <c r="BD474" s="140"/>
      <c r="BE474" s="140"/>
    </row>
    <row r="475" s="119" customFormat="1" ht="72" customHeight="1" outlineLevel="2" spans="1:57">
      <c r="A475" s="145">
        <f t="shared" si="120"/>
        <v>8</v>
      </c>
      <c r="B475" s="146" t="s">
        <v>270</v>
      </c>
      <c r="C475" s="147" t="s">
        <v>271</v>
      </c>
      <c r="D475" s="148" t="s">
        <v>63</v>
      </c>
      <c r="E475" s="149">
        <v>15.2</v>
      </c>
      <c r="F475" s="149">
        <f>S475*$S$1</f>
        <v>12</v>
      </c>
      <c r="G475" s="149">
        <f>Q475*(1+R475)*$Q$1</f>
        <v>5.5</v>
      </c>
      <c r="H475" s="149">
        <f>(T475+U475)*$T$1</f>
        <v>4.2682</v>
      </c>
      <c r="I475" s="150">
        <f t="shared" si="121"/>
        <v>2.17682</v>
      </c>
      <c r="J475" s="151">
        <f t="shared" si="122"/>
        <v>23.95</v>
      </c>
      <c r="K475" s="152">
        <f t="shared" si="123"/>
        <v>364.04</v>
      </c>
      <c r="L475" s="178"/>
      <c r="M475" s="139">
        <v>1</v>
      </c>
      <c r="N475" s="139">
        <v>330.9</v>
      </c>
      <c r="O475" s="139"/>
      <c r="P475" s="37">
        <f t="shared" si="124"/>
        <v>21.7682</v>
      </c>
      <c r="Q475" s="71">
        <v>5.5</v>
      </c>
      <c r="R475" s="157">
        <v>0</v>
      </c>
      <c r="S475" s="71">
        <v>12</v>
      </c>
      <c r="T475" s="71">
        <v>3.9682</v>
      </c>
      <c r="U475" s="71">
        <v>0.3</v>
      </c>
      <c r="V475" s="37">
        <f t="shared" si="125"/>
        <v>330.87664</v>
      </c>
      <c r="W475" s="139"/>
      <c r="X475" s="139"/>
      <c r="Y475" s="139"/>
      <c r="Z475" s="139"/>
      <c r="AA475" s="139"/>
      <c r="AB475" s="139"/>
      <c r="AC475" s="139"/>
      <c r="AD475" s="139"/>
      <c r="AE475" s="139"/>
      <c r="AF475" s="140"/>
      <c r="AG475" s="140"/>
      <c r="AH475" s="140"/>
      <c r="AI475" s="140"/>
      <c r="AJ475" s="140"/>
      <c r="AK475" s="140"/>
      <c r="AL475" s="140"/>
      <c r="AM475" s="140"/>
      <c r="AN475" s="140"/>
      <c r="AO475" s="140"/>
      <c r="AP475" s="140"/>
      <c r="AQ475" s="140"/>
      <c r="AR475" s="140"/>
      <c r="AS475" s="140"/>
      <c r="AT475" s="140"/>
      <c r="AU475" s="140"/>
      <c r="AV475" s="140"/>
      <c r="AW475" s="140"/>
      <c r="AX475" s="140"/>
      <c r="AY475" s="140"/>
      <c r="AZ475" s="140"/>
      <c r="BA475" s="140"/>
      <c r="BB475" s="140"/>
      <c r="BC475" s="140"/>
      <c r="BD475" s="140"/>
      <c r="BE475" s="140"/>
    </row>
    <row r="476" s="119" customFormat="1" ht="24" customHeight="1" outlineLevel="1" spans="1:57">
      <c r="A476" s="141"/>
      <c r="B476" s="14" t="s">
        <v>112</v>
      </c>
      <c r="C476" s="15"/>
      <c r="D476" s="142"/>
      <c r="E476" s="143"/>
      <c r="F476" s="143"/>
      <c r="G476" s="143"/>
      <c r="H476" s="143"/>
      <c r="I476" s="143"/>
      <c r="J476" s="143"/>
      <c r="K476" s="144"/>
      <c r="L476" s="178"/>
      <c r="M476" s="139"/>
      <c r="N476" s="139"/>
      <c r="O476" s="139"/>
      <c r="P476" s="137"/>
      <c r="Q476" s="137"/>
      <c r="R476" s="138"/>
      <c r="S476" s="137"/>
      <c r="T476" s="137"/>
      <c r="U476" s="137"/>
      <c r="V476" s="137"/>
      <c r="W476" s="139"/>
      <c r="X476" s="139"/>
      <c r="Y476" s="139"/>
      <c r="Z476" s="139"/>
      <c r="AA476" s="139"/>
      <c r="AB476" s="139"/>
      <c r="AC476" s="139"/>
      <c r="AD476" s="139"/>
      <c r="AE476" s="139"/>
      <c r="AF476" s="140"/>
      <c r="AG476" s="140"/>
      <c r="AH476" s="140"/>
      <c r="AI476" s="140"/>
      <c r="AJ476" s="140"/>
      <c r="AK476" s="140"/>
      <c r="AL476" s="140"/>
      <c r="AM476" s="140"/>
      <c r="AN476" s="140"/>
      <c r="AO476" s="140"/>
      <c r="AP476" s="140"/>
      <c r="AQ476" s="140"/>
      <c r="AR476" s="140"/>
      <c r="AS476" s="140"/>
      <c r="AT476" s="140"/>
      <c r="AU476" s="140"/>
      <c r="AV476" s="140"/>
      <c r="AW476" s="140"/>
      <c r="AX476" s="140"/>
      <c r="AY476" s="140"/>
      <c r="AZ476" s="140"/>
      <c r="BA476" s="140"/>
      <c r="BB476" s="140"/>
      <c r="BC476" s="140"/>
      <c r="BD476" s="140"/>
      <c r="BE476" s="140"/>
    </row>
    <row r="477" s="119" customFormat="1" ht="48" customHeight="1" outlineLevel="2" spans="1:57">
      <c r="A477" s="145">
        <f>1+N(A476)</f>
        <v>1</v>
      </c>
      <c r="B477" s="146" t="s">
        <v>272</v>
      </c>
      <c r="C477" s="147" t="s">
        <v>273</v>
      </c>
      <c r="D477" s="148" t="s">
        <v>63</v>
      </c>
      <c r="E477" s="149">
        <f>5*1.81*3.4</f>
        <v>30.77</v>
      </c>
      <c r="F477" s="149">
        <f>S477*$S$1</f>
        <v>55</v>
      </c>
      <c r="G477" s="149">
        <f>Q477*(1+R477)*$Q$1</f>
        <v>1415</v>
      </c>
      <c r="H477" s="149">
        <f>(T477+U477)*$T$1</f>
        <v>36.5</v>
      </c>
      <c r="I477" s="150">
        <f>(F477+G477+H477)*$I$3</f>
        <v>150.65</v>
      </c>
      <c r="J477" s="151">
        <f>ROUND(SUM(F477:I477),2)</f>
        <v>1657.15</v>
      </c>
      <c r="K477" s="152">
        <f>ROUND(J477*E477,2)</f>
        <v>50990.51</v>
      </c>
      <c r="L477" s="178"/>
      <c r="M477" s="139">
        <v>1</v>
      </c>
      <c r="N477" s="139">
        <v>46355.01</v>
      </c>
      <c r="O477" s="139"/>
      <c r="P477" s="37">
        <f>Q477+Q477*R477+S477+T477+U477</f>
        <v>1506.5</v>
      </c>
      <c r="Q477" s="71">
        <v>1415</v>
      </c>
      <c r="R477" s="157">
        <v>0</v>
      </c>
      <c r="S477" s="71">
        <v>55</v>
      </c>
      <c r="T477" s="71">
        <v>35</v>
      </c>
      <c r="U477" s="71">
        <v>1.5</v>
      </c>
      <c r="V477" s="37">
        <f>P477*E477</f>
        <v>46355.005</v>
      </c>
      <c r="W477" s="139"/>
      <c r="X477" s="139"/>
      <c r="Y477" s="139"/>
      <c r="Z477" s="139"/>
      <c r="AA477" s="139"/>
      <c r="AB477" s="139"/>
      <c r="AC477" s="139"/>
      <c r="AD477" s="139"/>
      <c r="AE477" s="139"/>
      <c r="AF477" s="140"/>
      <c r="AG477" s="140"/>
      <c r="AH477" s="140"/>
      <c r="AI477" s="140"/>
      <c r="AJ477" s="140"/>
      <c r="AK477" s="140"/>
      <c r="AL477" s="140"/>
      <c r="AM477" s="140"/>
      <c r="AN477" s="140"/>
      <c r="AO477" s="140"/>
      <c r="AP477" s="140"/>
      <c r="AQ477" s="140"/>
      <c r="AR477" s="140"/>
      <c r="AS477" s="140"/>
      <c r="AT477" s="140"/>
      <c r="AU477" s="140"/>
      <c r="AV477" s="140"/>
      <c r="AW477" s="140"/>
      <c r="AX477" s="140"/>
      <c r="AY477" s="140"/>
      <c r="AZ477" s="140"/>
      <c r="BA477" s="140"/>
      <c r="BB477" s="140"/>
      <c r="BC477" s="140"/>
      <c r="BD477" s="140"/>
      <c r="BE477" s="140"/>
    </row>
    <row r="478" s="119" customFormat="1" ht="72" customHeight="1" outlineLevel="2" spans="1:57">
      <c r="A478" s="145">
        <f>1+N(A477)</f>
        <v>2</v>
      </c>
      <c r="B478" s="146" t="s">
        <v>274</v>
      </c>
      <c r="C478" s="147" t="s">
        <v>275</v>
      </c>
      <c r="D478" s="148" t="s">
        <v>156</v>
      </c>
      <c r="E478" s="149">
        <v>1</v>
      </c>
      <c r="F478" s="149">
        <f>S478*$S$1</f>
        <v>2563</v>
      </c>
      <c r="G478" s="149">
        <f>Q478*(1+R478)*$Q$1</f>
        <v>23117.325</v>
      </c>
      <c r="H478" s="149">
        <f>(T478+U478)*$T$1</f>
        <v>2119.1362</v>
      </c>
      <c r="I478" s="150">
        <f>(F478+G478+H478)*$I$3</f>
        <v>2779.94612</v>
      </c>
      <c r="J478" s="151">
        <f>ROUND(SUM(F478:I478),2)</f>
        <v>30579.41</v>
      </c>
      <c r="K478" s="152">
        <f>ROUND(J478*E478,2)</f>
        <v>30579.41</v>
      </c>
      <c r="L478" s="178"/>
      <c r="M478" s="139">
        <v>1</v>
      </c>
      <c r="N478" s="139">
        <v>27799.46</v>
      </c>
      <c r="O478" s="139"/>
      <c r="P478" s="37">
        <f>Q478+Q478*R478+S478+T478+U478</f>
        <v>27799.4612</v>
      </c>
      <c r="Q478" s="71">
        <v>22016.5</v>
      </c>
      <c r="R478" s="157">
        <v>0.05</v>
      </c>
      <c r="S478" s="71">
        <v>2563</v>
      </c>
      <c r="T478" s="71">
        <v>1922.25</v>
      </c>
      <c r="U478" s="71">
        <v>196.8862</v>
      </c>
      <c r="V478" s="37">
        <f>P478*E478</f>
        <v>27799.4612</v>
      </c>
      <c r="W478" s="139"/>
      <c r="X478" s="139"/>
      <c r="Y478" s="139"/>
      <c r="Z478" s="139"/>
      <c r="AA478" s="139"/>
      <c r="AB478" s="139"/>
      <c r="AC478" s="139"/>
      <c r="AD478" s="139"/>
      <c r="AE478" s="139"/>
      <c r="AF478" s="140"/>
      <c r="AG478" s="140"/>
      <c r="AH478" s="140"/>
      <c r="AI478" s="140"/>
      <c r="AJ478" s="140"/>
      <c r="AK478" s="140"/>
      <c r="AL478" s="140"/>
      <c r="AM478" s="140"/>
      <c r="AN478" s="140"/>
      <c r="AO478" s="140"/>
      <c r="AP478" s="140"/>
      <c r="AQ478" s="140"/>
      <c r="AR478" s="140"/>
      <c r="AS478" s="140"/>
      <c r="AT478" s="140"/>
      <c r="AU478" s="140"/>
      <c r="AV478" s="140"/>
      <c r="AW478" s="140"/>
      <c r="AX478" s="140"/>
      <c r="AY478" s="140"/>
      <c r="AZ478" s="140"/>
      <c r="BA478" s="140"/>
      <c r="BB478" s="140"/>
      <c r="BC478" s="140"/>
      <c r="BD478" s="140"/>
      <c r="BE478" s="140"/>
    </row>
    <row r="479" s="119" customFormat="1" ht="24" customHeight="1" outlineLevel="1" spans="1:57">
      <c r="A479" s="132" t="s">
        <v>58</v>
      </c>
      <c r="B479" s="8" t="s">
        <v>276</v>
      </c>
      <c r="C479" s="180"/>
      <c r="D479" s="133"/>
      <c r="E479" s="134"/>
      <c r="F479" s="134"/>
      <c r="G479" s="134"/>
      <c r="H479" s="134"/>
      <c r="I479" s="134"/>
      <c r="J479" s="134"/>
      <c r="K479" s="11"/>
      <c r="L479" s="178"/>
      <c r="M479" s="139"/>
      <c r="N479" s="139"/>
      <c r="O479" s="139" t="str">
        <f>_xlfn.DISPIMG("ID_3E5BE532377F40AEBC68B3C07112AFDB",1)</f>
        <v>=DISPIMG("ID_3E5BE532377F40AEBC68B3C07112AFDB",1)</v>
      </c>
      <c r="P479" s="137"/>
      <c r="Q479" s="137"/>
      <c r="R479" s="138"/>
      <c r="S479" s="137"/>
      <c r="T479" s="137"/>
      <c r="U479" s="137"/>
      <c r="V479" s="137"/>
      <c r="W479" s="139"/>
      <c r="X479" s="139"/>
      <c r="Y479" s="139"/>
      <c r="Z479" s="139"/>
      <c r="AA479" s="139"/>
      <c r="AB479" s="139"/>
      <c r="AC479" s="139"/>
      <c r="AD479" s="139"/>
      <c r="AE479" s="139"/>
      <c r="AF479" s="140"/>
      <c r="AG479" s="140"/>
      <c r="AH479" s="140"/>
      <c r="AI479" s="140"/>
      <c r="AJ479" s="140"/>
      <c r="AK479" s="140"/>
      <c r="AL479" s="140"/>
      <c r="AM479" s="140"/>
      <c r="AN479" s="140"/>
      <c r="AO479" s="140"/>
      <c r="AP479" s="140"/>
      <c r="AQ479" s="140"/>
      <c r="AR479" s="140"/>
      <c r="AS479" s="140"/>
      <c r="AT479" s="140"/>
      <c r="AU479" s="140"/>
      <c r="AV479" s="140"/>
      <c r="AW479" s="140"/>
      <c r="AX479" s="140"/>
      <c r="AY479" s="140"/>
      <c r="AZ479" s="140"/>
      <c r="BA479" s="140"/>
      <c r="BB479" s="140"/>
      <c r="BC479" s="140"/>
      <c r="BD479" s="140"/>
      <c r="BE479" s="140"/>
    </row>
    <row r="480" s="119" customFormat="1" ht="24" customHeight="1" outlineLevel="1" spans="1:57">
      <c r="A480" s="141"/>
      <c r="B480" s="14" t="s">
        <v>60</v>
      </c>
      <c r="C480" s="15"/>
      <c r="D480" s="142"/>
      <c r="E480" s="143"/>
      <c r="F480" s="143"/>
      <c r="G480" s="143"/>
      <c r="H480" s="143"/>
      <c r="I480" s="143"/>
      <c r="J480" s="143"/>
      <c r="K480" s="144"/>
      <c r="L480" s="178"/>
      <c r="M480" s="139"/>
      <c r="N480" s="139"/>
      <c r="O480" s="139"/>
      <c r="P480" s="137"/>
      <c r="Q480" s="137"/>
      <c r="R480" s="138"/>
      <c r="S480" s="137"/>
      <c r="T480" s="137"/>
      <c r="U480" s="137"/>
      <c r="V480" s="137"/>
      <c r="W480" s="139"/>
      <c r="X480" s="139"/>
      <c r="Y480" s="139"/>
      <c r="Z480" s="139"/>
      <c r="AA480" s="139"/>
      <c r="AB480" s="139"/>
      <c r="AC480" s="139"/>
      <c r="AD480" s="139"/>
      <c r="AE480" s="139"/>
      <c r="AF480" s="140"/>
      <c r="AG480" s="140"/>
      <c r="AH480" s="140"/>
      <c r="AI480" s="140"/>
      <c r="AJ480" s="140"/>
      <c r="AK480" s="140"/>
      <c r="AL480" s="140"/>
      <c r="AM480" s="140"/>
      <c r="AN480" s="140"/>
      <c r="AO480" s="140"/>
      <c r="AP480" s="140"/>
      <c r="AQ480" s="140"/>
      <c r="AR480" s="140"/>
      <c r="AS480" s="140"/>
      <c r="AT480" s="140"/>
      <c r="AU480" s="140"/>
      <c r="AV480" s="140"/>
      <c r="AW480" s="140"/>
      <c r="AX480" s="140"/>
      <c r="AY480" s="140"/>
      <c r="AZ480" s="140"/>
      <c r="BA480" s="140"/>
      <c r="BB480" s="140"/>
      <c r="BC480" s="140"/>
      <c r="BD480" s="140"/>
      <c r="BE480" s="140"/>
    </row>
    <row r="481" s="119" customFormat="1" ht="96" customHeight="1" outlineLevel="2" spans="1:57">
      <c r="A481" s="162">
        <f>1+N(A480)</f>
        <v>1</v>
      </c>
      <c r="B481" s="14" t="s">
        <v>61</v>
      </c>
      <c r="C481" s="15" t="s">
        <v>62</v>
      </c>
      <c r="D481" s="142" t="s">
        <v>63</v>
      </c>
      <c r="E481" s="143">
        <v>23.22</v>
      </c>
      <c r="F481" s="143">
        <f>$F$7</f>
        <v>130</v>
      </c>
      <c r="G481" s="143">
        <f>$G$7</f>
        <v>628.3</v>
      </c>
      <c r="H481" s="17">
        <f>$H$7</f>
        <v>47.7</v>
      </c>
      <c r="I481" s="17">
        <f>(F481+G481+H481)*$I$3</f>
        <v>80.6</v>
      </c>
      <c r="J481" s="18">
        <f>ROUND(SUM(F481:I481),2)</f>
        <v>886.6</v>
      </c>
      <c r="K481" s="19">
        <f>ROUND(J481*E481,2)</f>
        <v>20586.85</v>
      </c>
      <c r="L481" s="178"/>
      <c r="M481" s="139">
        <v>1</v>
      </c>
      <c r="N481" s="139">
        <v>18715.32</v>
      </c>
      <c r="O481" s="139"/>
      <c r="P481" s="37">
        <f>Q481+Q481*R481+S481+T481+U481</f>
        <v>806</v>
      </c>
      <c r="Q481" s="99">
        <f>$Q$7</f>
        <v>610</v>
      </c>
      <c r="R481" s="163">
        <f>$R$7</f>
        <v>0.03</v>
      </c>
      <c r="S481" s="99">
        <f>$S$7</f>
        <v>130</v>
      </c>
      <c r="T481" s="99">
        <f>$T$7</f>
        <v>46.2</v>
      </c>
      <c r="U481" s="99">
        <f>$U$7</f>
        <v>1.5</v>
      </c>
      <c r="V481" s="37">
        <f>P481*E481</f>
        <v>18715.32</v>
      </c>
      <c r="W481" s="139"/>
      <c r="X481" s="139"/>
      <c r="Y481" s="139"/>
      <c r="Z481" s="139"/>
      <c r="AA481" s="139"/>
      <c r="AB481" s="139"/>
      <c r="AC481" s="139"/>
      <c r="AD481" s="139"/>
      <c r="AE481" s="139"/>
      <c r="AF481" s="140"/>
      <c r="AG481" s="140"/>
      <c r="AH481" s="140"/>
      <c r="AI481" s="140"/>
      <c r="AJ481" s="140"/>
      <c r="AK481" s="140"/>
      <c r="AL481" s="140"/>
      <c r="AM481" s="140"/>
      <c r="AN481" s="140"/>
      <c r="AO481" s="140"/>
      <c r="AP481" s="140"/>
      <c r="AQ481" s="140"/>
      <c r="AR481" s="140"/>
      <c r="AS481" s="140"/>
      <c r="AT481" s="140"/>
      <c r="AU481" s="140"/>
      <c r="AV481" s="140"/>
      <c r="AW481" s="140"/>
      <c r="AX481" s="140"/>
      <c r="AY481" s="140"/>
      <c r="AZ481" s="140"/>
      <c r="BA481" s="140"/>
      <c r="BB481" s="140"/>
      <c r="BC481" s="140"/>
      <c r="BD481" s="140"/>
      <c r="BE481" s="140"/>
    </row>
    <row r="482" s="119" customFormat="1" ht="108" customHeight="1" outlineLevel="2" spans="1:57">
      <c r="A482" s="162">
        <f>1+N(A481)</f>
        <v>2</v>
      </c>
      <c r="B482" s="14" t="s">
        <v>254</v>
      </c>
      <c r="C482" s="15" t="s">
        <v>255</v>
      </c>
      <c r="D482" s="142" t="s">
        <v>63</v>
      </c>
      <c r="E482" s="143">
        <v>3.5</v>
      </c>
      <c r="F482" s="143">
        <f>$F$454</f>
        <v>130</v>
      </c>
      <c r="G482" s="143">
        <f>$G$454</f>
        <v>854.9</v>
      </c>
      <c r="H482" s="143">
        <f>$H$454</f>
        <v>47.7</v>
      </c>
      <c r="I482" s="17">
        <f>(F482+G482+H482)*$I$3</f>
        <v>103.26</v>
      </c>
      <c r="J482" s="18">
        <f>ROUND(SUM(F482:I482),2)</f>
        <v>1135.86</v>
      </c>
      <c r="K482" s="19">
        <f>ROUND(J482*E482,2)</f>
        <v>3975.51</v>
      </c>
      <c r="L482" s="178"/>
      <c r="M482" s="139">
        <v>1</v>
      </c>
      <c r="N482" s="139">
        <v>3614.1</v>
      </c>
      <c r="O482" s="139"/>
      <c r="P482" s="37">
        <f>Q482+Q482*R482+S482+T482+U482</f>
        <v>1032.6</v>
      </c>
      <c r="Q482" s="99">
        <f>$Q$454</f>
        <v>830</v>
      </c>
      <c r="R482" s="163">
        <f>$R$454</f>
        <v>0.03</v>
      </c>
      <c r="S482" s="99">
        <f>$S$454</f>
        <v>130</v>
      </c>
      <c r="T482" s="99">
        <f>$T$454</f>
        <v>46.2</v>
      </c>
      <c r="U482" s="99">
        <f>$U$454</f>
        <v>1.5</v>
      </c>
      <c r="V482" s="37">
        <f>P482*E482</f>
        <v>3614.1</v>
      </c>
      <c r="W482" s="139"/>
      <c r="X482" s="139"/>
      <c r="Y482" s="139"/>
      <c r="Z482" s="139"/>
      <c r="AA482" s="139"/>
      <c r="AB482" s="139"/>
      <c r="AC482" s="139"/>
      <c r="AD482" s="139"/>
      <c r="AE482" s="139"/>
      <c r="AF482" s="140"/>
      <c r="AG482" s="140"/>
      <c r="AH482" s="140"/>
      <c r="AI482" s="140"/>
      <c r="AJ482" s="140"/>
      <c r="AK482" s="140"/>
      <c r="AL482" s="140"/>
      <c r="AM482" s="140"/>
      <c r="AN482" s="140"/>
      <c r="AO482" s="140"/>
      <c r="AP482" s="140"/>
      <c r="AQ482" s="140"/>
      <c r="AR482" s="140"/>
      <c r="AS482" s="140"/>
      <c r="AT482" s="140"/>
      <c r="AU482" s="140"/>
      <c r="AV482" s="140"/>
      <c r="AW482" s="140"/>
      <c r="AX482" s="140"/>
      <c r="AY482" s="140"/>
      <c r="AZ482" s="140"/>
      <c r="BA482" s="140"/>
      <c r="BB482" s="140"/>
      <c r="BC482" s="140"/>
      <c r="BD482" s="140"/>
      <c r="BE482" s="140"/>
    </row>
    <row r="483" s="119" customFormat="1" ht="56" customHeight="1" outlineLevel="2" spans="1:57">
      <c r="A483" s="162">
        <f>1+N(A482)</f>
        <v>3</v>
      </c>
      <c r="B483" s="14" t="s">
        <v>68</v>
      </c>
      <c r="C483" s="15" t="s">
        <v>69</v>
      </c>
      <c r="D483" s="142" t="s">
        <v>70</v>
      </c>
      <c r="E483" s="143">
        <v>7.1</v>
      </c>
      <c r="F483" s="143">
        <f>$F$10</f>
        <v>12</v>
      </c>
      <c r="G483" s="143">
        <f>$G$10</f>
        <v>19.57</v>
      </c>
      <c r="H483" s="143">
        <f>$H$10</f>
        <v>0.5</v>
      </c>
      <c r="I483" s="17">
        <f>(F483+G483+H483)*$I$3</f>
        <v>3.207</v>
      </c>
      <c r="J483" s="18">
        <f>ROUND(SUM(F483:I483),2)</f>
        <v>35.28</v>
      </c>
      <c r="K483" s="19">
        <f>ROUND(J483*E483,2)</f>
        <v>250.49</v>
      </c>
      <c r="L483" s="178"/>
      <c r="M483" s="139">
        <v>1</v>
      </c>
      <c r="N483" s="139">
        <v>227.7</v>
      </c>
      <c r="O483" s="139"/>
      <c r="P483" s="37">
        <f>Q483+Q483*R483+S483+T483+U483</f>
        <v>32.07</v>
      </c>
      <c r="Q483" s="99">
        <f>$Q$10</f>
        <v>19</v>
      </c>
      <c r="R483" s="163">
        <f>$R$10</f>
        <v>0.03</v>
      </c>
      <c r="S483" s="99">
        <f>$S$10</f>
        <v>12</v>
      </c>
      <c r="T483" s="99">
        <f>$T$10</f>
        <v>0.3</v>
      </c>
      <c r="U483" s="99">
        <f>$U$10</f>
        <v>0.2</v>
      </c>
      <c r="V483" s="37">
        <f>P483*E483</f>
        <v>227.697</v>
      </c>
      <c r="W483" s="139"/>
      <c r="X483" s="139"/>
      <c r="Y483" s="139"/>
      <c r="Z483" s="139"/>
      <c r="AA483" s="139"/>
      <c r="AB483" s="139"/>
      <c r="AC483" s="139"/>
      <c r="AD483" s="139"/>
      <c r="AE483" s="139"/>
      <c r="AF483" s="140"/>
      <c r="AG483" s="140"/>
      <c r="AH483" s="140"/>
      <c r="AI483" s="140"/>
      <c r="AJ483" s="140"/>
      <c r="AK483" s="140"/>
      <c r="AL483" s="140"/>
      <c r="AM483" s="140"/>
      <c r="AN483" s="140"/>
      <c r="AO483" s="140"/>
      <c r="AP483" s="140"/>
      <c r="AQ483" s="140"/>
      <c r="AR483" s="140"/>
      <c r="AS483" s="140"/>
      <c r="AT483" s="140"/>
      <c r="AU483" s="140"/>
      <c r="AV483" s="140"/>
      <c r="AW483" s="140"/>
      <c r="AX483" s="140"/>
      <c r="AY483" s="140"/>
      <c r="AZ483" s="140"/>
      <c r="BA483" s="140"/>
      <c r="BB483" s="140"/>
      <c r="BC483" s="140"/>
      <c r="BD483" s="140"/>
      <c r="BE483" s="140"/>
    </row>
    <row r="484" s="119" customFormat="1" ht="48" customHeight="1" outlineLevel="2" spans="1:57">
      <c r="A484" s="162">
        <f>1+N(A483)</f>
        <v>4</v>
      </c>
      <c r="B484" s="14" t="s">
        <v>71</v>
      </c>
      <c r="C484" s="15" t="s">
        <v>72</v>
      </c>
      <c r="D484" s="142" t="s">
        <v>63</v>
      </c>
      <c r="E484" s="143">
        <v>26.72</v>
      </c>
      <c r="F484" s="143">
        <f>$F$11</f>
        <v>40</v>
      </c>
      <c r="G484" s="143">
        <f>$G$11</f>
        <v>15</v>
      </c>
      <c r="H484" s="143">
        <f>$H$11</f>
        <v>0.8</v>
      </c>
      <c r="I484" s="17">
        <f>(F484+G484+H484)*$I$3</f>
        <v>5.58</v>
      </c>
      <c r="J484" s="18">
        <f>ROUND(SUM(F484:I484),2)</f>
        <v>61.38</v>
      </c>
      <c r="K484" s="19">
        <f>ROUND(J484*E484,2)</f>
        <v>1640.07</v>
      </c>
      <c r="L484" s="178"/>
      <c r="M484" s="139">
        <v>1</v>
      </c>
      <c r="N484" s="139">
        <v>1490.98</v>
      </c>
      <c r="O484" s="139"/>
      <c r="P484" s="37">
        <f>Q484+Q484*R484+S484+T484+U484</f>
        <v>55.8</v>
      </c>
      <c r="Q484" s="99">
        <f>$Q$11</f>
        <v>15</v>
      </c>
      <c r="R484" s="163">
        <f>$R$11</f>
        <v>0</v>
      </c>
      <c r="S484" s="99">
        <f>$S$11</f>
        <v>40</v>
      </c>
      <c r="T484" s="99">
        <f>$T$11</f>
        <v>0.5</v>
      </c>
      <c r="U484" s="99">
        <f>$U$11</f>
        <v>0.3</v>
      </c>
      <c r="V484" s="37">
        <f>P484*E484</f>
        <v>1490.976</v>
      </c>
      <c r="W484" s="139"/>
      <c r="X484" s="139"/>
      <c r="Y484" s="139"/>
      <c r="Z484" s="139"/>
      <c r="AA484" s="139"/>
      <c r="AB484" s="139"/>
      <c r="AC484" s="139"/>
      <c r="AD484" s="139"/>
      <c r="AE484" s="139"/>
      <c r="AF484" s="140"/>
      <c r="AG484" s="140"/>
      <c r="AH484" s="140"/>
      <c r="AI484" s="140"/>
      <c r="AJ484" s="140"/>
      <c r="AK484" s="140"/>
      <c r="AL484" s="140"/>
      <c r="AM484" s="140"/>
      <c r="AN484" s="140"/>
      <c r="AO484" s="140"/>
      <c r="AP484" s="140"/>
      <c r="AQ484" s="140"/>
      <c r="AR484" s="140"/>
      <c r="AS484" s="140"/>
      <c r="AT484" s="140"/>
      <c r="AU484" s="140"/>
      <c r="AV484" s="140"/>
      <c r="AW484" s="140"/>
      <c r="AX484" s="140"/>
      <c r="AY484" s="140"/>
      <c r="AZ484" s="140"/>
      <c r="BA484" s="140"/>
      <c r="BB484" s="140"/>
      <c r="BC484" s="140"/>
      <c r="BD484" s="140"/>
      <c r="BE484" s="140"/>
    </row>
    <row r="485" s="119" customFormat="1" ht="24" customHeight="1" outlineLevel="1" spans="1:57">
      <c r="A485" s="141"/>
      <c r="B485" s="14" t="s">
        <v>73</v>
      </c>
      <c r="C485" s="15"/>
      <c r="D485" s="142"/>
      <c r="E485" s="143"/>
      <c r="F485" s="143"/>
      <c r="G485" s="143"/>
      <c r="H485" s="143"/>
      <c r="I485" s="143"/>
      <c r="J485" s="143"/>
      <c r="K485" s="144"/>
      <c r="L485" s="178"/>
      <c r="M485" s="139"/>
      <c r="N485" s="139"/>
      <c r="O485" s="139"/>
      <c r="P485" s="137"/>
      <c r="Q485" s="137"/>
      <c r="R485" s="138"/>
      <c r="S485" s="137"/>
      <c r="T485" s="137"/>
      <c r="U485" s="137"/>
      <c r="V485" s="137"/>
      <c r="W485" s="139"/>
      <c r="X485" s="139"/>
      <c r="Y485" s="139"/>
      <c r="Z485" s="139"/>
      <c r="AA485" s="139"/>
      <c r="AB485" s="139"/>
      <c r="AC485" s="139"/>
      <c r="AD485" s="139"/>
      <c r="AE485" s="139"/>
      <c r="AF485" s="140"/>
      <c r="AG485" s="140"/>
      <c r="AH485" s="140"/>
      <c r="AI485" s="140"/>
      <c r="AJ485" s="140"/>
      <c r="AK485" s="140"/>
      <c r="AL485" s="140"/>
      <c r="AM485" s="140"/>
      <c r="AN485" s="140"/>
      <c r="AO485" s="140"/>
      <c r="AP485" s="140"/>
      <c r="AQ485" s="140"/>
      <c r="AR485" s="140"/>
      <c r="AS485" s="140"/>
      <c r="AT485" s="140"/>
      <c r="AU485" s="140"/>
      <c r="AV485" s="140"/>
      <c r="AW485" s="140"/>
      <c r="AX485" s="140"/>
      <c r="AY485" s="140"/>
      <c r="AZ485" s="140"/>
      <c r="BA485" s="140"/>
      <c r="BB485" s="140"/>
      <c r="BC485" s="140"/>
      <c r="BD485" s="140"/>
      <c r="BE485" s="140"/>
    </row>
    <row r="486" s="119" customFormat="1" ht="60" customHeight="1" outlineLevel="2" spans="1:57">
      <c r="A486" s="162">
        <f>1+N(A485)</f>
        <v>1</v>
      </c>
      <c r="B486" s="164" t="s">
        <v>76</v>
      </c>
      <c r="C486" s="15" t="s">
        <v>258</v>
      </c>
      <c r="D486" s="142" t="s">
        <v>63</v>
      </c>
      <c r="E486" s="143">
        <f>25.402+0.814</f>
        <v>26.216</v>
      </c>
      <c r="F486" s="143">
        <f>$F$459</f>
        <v>140</v>
      </c>
      <c r="G486" s="143">
        <f>$G$459</f>
        <v>682.5</v>
      </c>
      <c r="H486" s="143">
        <f>$H$459</f>
        <v>113.55</v>
      </c>
      <c r="I486" s="17">
        <f>(F486+G486+H486)*$I$3</f>
        <v>93.605</v>
      </c>
      <c r="J486" s="18">
        <f>ROUND(SUM(F486:I486),2)</f>
        <v>1029.66</v>
      </c>
      <c r="K486" s="19">
        <f>ROUND(J486*E486,2)</f>
        <v>26993.57</v>
      </c>
      <c r="L486" s="178"/>
      <c r="M486" s="139">
        <v>1</v>
      </c>
      <c r="N486" s="139">
        <v>24539.49</v>
      </c>
      <c r="O486" s="139"/>
      <c r="P486" s="37">
        <f>Q486+Q486*R486+S486+T486+U486</f>
        <v>936.05</v>
      </c>
      <c r="Q486" s="99">
        <f>$Q$459</f>
        <v>650</v>
      </c>
      <c r="R486" s="163">
        <f>$R$459</f>
        <v>0.05</v>
      </c>
      <c r="S486" s="99">
        <f>$S$459</f>
        <v>140</v>
      </c>
      <c r="T486" s="99">
        <f>$T$459</f>
        <v>111.75</v>
      </c>
      <c r="U486" s="99">
        <f>$U$459</f>
        <v>1.8</v>
      </c>
      <c r="V486" s="37">
        <f>P486*E486</f>
        <v>24539.4868</v>
      </c>
      <c r="W486" s="139"/>
      <c r="X486" s="139"/>
      <c r="Y486" s="139"/>
      <c r="Z486" s="139"/>
      <c r="AA486" s="139"/>
      <c r="AB486" s="139"/>
      <c r="AC486" s="139"/>
      <c r="AD486" s="139"/>
      <c r="AE486" s="139"/>
      <c r="AF486" s="140"/>
      <c r="AG486" s="140"/>
      <c r="AH486" s="140"/>
      <c r="AI486" s="140"/>
      <c r="AJ486" s="140"/>
      <c r="AK486" s="140"/>
      <c r="AL486" s="140"/>
      <c r="AM486" s="140"/>
      <c r="AN486" s="140"/>
      <c r="AO486" s="140"/>
      <c r="AP486" s="140"/>
      <c r="AQ486" s="140"/>
      <c r="AR486" s="140"/>
      <c r="AS486" s="140"/>
      <c r="AT486" s="140"/>
      <c r="AU486" s="140"/>
      <c r="AV486" s="140"/>
      <c r="AW486" s="140"/>
      <c r="AX486" s="140"/>
      <c r="AY486" s="140"/>
      <c r="AZ486" s="140"/>
      <c r="BA486" s="140"/>
      <c r="BB486" s="140"/>
      <c r="BC486" s="140"/>
      <c r="BD486" s="140"/>
      <c r="BE486" s="140"/>
    </row>
    <row r="487" s="119" customFormat="1" ht="60" customHeight="1" outlineLevel="2" spans="1:57">
      <c r="A487" s="145">
        <f>1+N(A486)</f>
        <v>2</v>
      </c>
      <c r="B487" s="146" t="s">
        <v>260</v>
      </c>
      <c r="C487" s="147" t="s">
        <v>261</v>
      </c>
      <c r="D487" s="148" t="s">
        <v>63</v>
      </c>
      <c r="E487" s="149">
        <v>34.976</v>
      </c>
      <c r="F487" s="149">
        <f>S487*$S$1</f>
        <v>75</v>
      </c>
      <c r="G487" s="149">
        <f>Q487*(1+R487)*$Q$1</f>
        <v>597.4</v>
      </c>
      <c r="H487" s="149">
        <f>(T487+U487)*$T$1</f>
        <v>124.95</v>
      </c>
      <c r="I487" s="150">
        <f>(F487+G487+H487)*$I$3</f>
        <v>79.735</v>
      </c>
      <c r="J487" s="151">
        <f>ROUND(SUM(F487:I487),2)</f>
        <v>877.09</v>
      </c>
      <c r="K487" s="152">
        <f>ROUND(J487*E487,2)</f>
        <v>30677.1</v>
      </c>
      <c r="L487" s="178"/>
      <c r="M487" s="139">
        <v>1</v>
      </c>
      <c r="N487" s="139">
        <v>27888.11</v>
      </c>
      <c r="O487" s="139"/>
      <c r="P487" s="37">
        <f>Q487+Q487*R487+S487+T487+U487</f>
        <v>797.35</v>
      </c>
      <c r="Q487" s="181">
        <v>580</v>
      </c>
      <c r="R487" s="155">
        <v>0.03</v>
      </c>
      <c r="S487" s="169">
        <f>55+20</f>
        <v>75</v>
      </c>
      <c r="T487" s="169">
        <f>15.5*5.5+35+3.5</f>
        <v>123.75</v>
      </c>
      <c r="U487" s="169">
        <v>1.2</v>
      </c>
      <c r="V487" s="37">
        <f>P487*E487</f>
        <v>27888.1136</v>
      </c>
      <c r="W487" s="139"/>
      <c r="X487" s="139"/>
      <c r="Y487" s="139"/>
      <c r="Z487" s="139"/>
      <c r="AA487" s="139"/>
      <c r="AB487" s="139"/>
      <c r="AC487" s="139"/>
      <c r="AD487" s="139"/>
      <c r="AE487" s="139"/>
      <c r="AF487" s="140"/>
      <c r="AG487" s="140"/>
      <c r="AH487" s="140"/>
      <c r="AI487" s="140"/>
      <c r="AJ487" s="140"/>
      <c r="AK487" s="140"/>
      <c r="AL487" s="140"/>
      <c r="AM487" s="140"/>
      <c r="AN487" s="140"/>
      <c r="AO487" s="140"/>
      <c r="AP487" s="140"/>
      <c r="AQ487" s="140"/>
      <c r="AR487" s="140"/>
      <c r="AS487" s="140"/>
      <c r="AT487" s="140"/>
      <c r="AU487" s="140"/>
      <c r="AV487" s="140"/>
      <c r="AW487" s="140"/>
      <c r="AX487" s="140"/>
      <c r="AY487" s="140"/>
      <c r="AZ487" s="140"/>
      <c r="BA487" s="140"/>
      <c r="BB487" s="140"/>
      <c r="BC487" s="140"/>
      <c r="BD487" s="140"/>
      <c r="BE487" s="140"/>
    </row>
    <row r="488" s="119" customFormat="1" ht="60" customHeight="1" outlineLevel="2" spans="1:57">
      <c r="A488" s="162">
        <f>1+N(A487)</f>
        <v>3</v>
      </c>
      <c r="B488" s="14" t="s">
        <v>174</v>
      </c>
      <c r="C488" s="15" t="s">
        <v>262</v>
      </c>
      <c r="D488" s="142" t="s">
        <v>63</v>
      </c>
      <c r="E488" s="143">
        <v>32.922</v>
      </c>
      <c r="F488" s="143">
        <f>$F$463</f>
        <v>110</v>
      </c>
      <c r="G488" s="143">
        <f>$G$463</f>
        <v>87.55</v>
      </c>
      <c r="H488" s="143">
        <f>$H$463</f>
        <v>126.35</v>
      </c>
      <c r="I488" s="17">
        <f>(F488+G488+H488)*$I$3</f>
        <v>32.39</v>
      </c>
      <c r="J488" s="18">
        <f>ROUND(SUM(F488:I488),2)</f>
        <v>356.29</v>
      </c>
      <c r="K488" s="19">
        <f>ROUND(J488*E488,2)</f>
        <v>11729.78</v>
      </c>
      <c r="L488" s="178"/>
      <c r="M488" s="139">
        <v>1</v>
      </c>
      <c r="N488" s="139">
        <v>10663.44</v>
      </c>
      <c r="O488" s="139"/>
      <c r="P488" s="37">
        <f>Q488+Q488*R488+S488+T488+U488</f>
        <v>323.9</v>
      </c>
      <c r="Q488" s="99">
        <f>$Q$463</f>
        <v>85</v>
      </c>
      <c r="R488" s="163">
        <f>$R$463</f>
        <v>0.03</v>
      </c>
      <c r="S488" s="99">
        <f>$S$463</f>
        <v>110</v>
      </c>
      <c r="T488" s="99">
        <f>$T$463</f>
        <v>125.75</v>
      </c>
      <c r="U488" s="99">
        <f>$U$463</f>
        <v>0.6</v>
      </c>
      <c r="V488" s="37">
        <f>P488*E488</f>
        <v>10663.4358</v>
      </c>
      <c r="W488" s="139"/>
      <c r="X488" s="139"/>
      <c r="Y488" s="139"/>
      <c r="Z488" s="139"/>
      <c r="AA488" s="139"/>
      <c r="AB488" s="139"/>
      <c r="AC488" s="139"/>
      <c r="AD488" s="139"/>
      <c r="AE488" s="139"/>
      <c r="AF488" s="140"/>
      <c r="AG488" s="140"/>
      <c r="AH488" s="140"/>
      <c r="AI488" s="140"/>
      <c r="AJ488" s="140"/>
      <c r="AK488" s="140"/>
      <c r="AL488" s="140"/>
      <c r="AM488" s="140"/>
      <c r="AN488" s="140"/>
      <c r="AO488" s="140"/>
      <c r="AP488" s="140"/>
      <c r="AQ488" s="140"/>
      <c r="AR488" s="140"/>
      <c r="AS488" s="140"/>
      <c r="AT488" s="140"/>
      <c r="AU488" s="140"/>
      <c r="AV488" s="140"/>
      <c r="AW488" s="140"/>
      <c r="AX488" s="140"/>
      <c r="AY488" s="140"/>
      <c r="AZ488" s="140"/>
      <c r="BA488" s="140"/>
      <c r="BB488" s="140"/>
      <c r="BC488" s="140"/>
      <c r="BD488" s="140"/>
      <c r="BE488" s="140"/>
    </row>
    <row r="489" s="119" customFormat="1" ht="60" customHeight="1" outlineLevel="2" spans="1:57">
      <c r="A489" s="162">
        <f>1+N(A488)</f>
        <v>4</v>
      </c>
      <c r="B489" s="14" t="s">
        <v>87</v>
      </c>
      <c r="C489" s="166" t="s">
        <v>88</v>
      </c>
      <c r="D489" s="142" t="s">
        <v>63</v>
      </c>
      <c r="E489" s="143">
        <v>0.252</v>
      </c>
      <c r="F489" s="143">
        <f>$F$20</f>
        <v>110</v>
      </c>
      <c r="G489" s="143">
        <f>$G$20</f>
        <v>454.5</v>
      </c>
      <c r="H489" s="143">
        <f>$H$20</f>
        <v>55.2</v>
      </c>
      <c r="I489" s="17">
        <f>(F489+G489+H489)*$I$3</f>
        <v>61.97</v>
      </c>
      <c r="J489" s="18">
        <f>ROUND(SUM(F489:I489),2)</f>
        <v>681.67</v>
      </c>
      <c r="K489" s="19">
        <f>ROUND(J489*E489,2)</f>
        <v>171.78</v>
      </c>
      <c r="L489" s="178"/>
      <c r="M489" s="139">
        <v>1</v>
      </c>
      <c r="N489" s="139">
        <v>156.16</v>
      </c>
      <c r="O489" s="139"/>
      <c r="P489" s="37">
        <f>Q489+Q489*R489+S489+T489+U489</f>
        <v>619.7</v>
      </c>
      <c r="Q489" s="99">
        <f>$Q$20</f>
        <v>450</v>
      </c>
      <c r="R489" s="163">
        <f>$R$20</f>
        <v>0.01</v>
      </c>
      <c r="S489" s="99">
        <f>$S$20</f>
        <v>110</v>
      </c>
      <c r="T489" s="99">
        <f>$T$20</f>
        <v>54</v>
      </c>
      <c r="U489" s="99">
        <f>$U$20</f>
        <v>1.2</v>
      </c>
      <c r="V489" s="37">
        <f>P489*E489</f>
        <v>156.1644</v>
      </c>
      <c r="W489" s="139"/>
      <c r="X489" s="139"/>
      <c r="Y489" s="139"/>
      <c r="Z489" s="139"/>
      <c r="AA489" s="139"/>
      <c r="AB489" s="139"/>
      <c r="AC489" s="139"/>
      <c r="AD489" s="139"/>
      <c r="AE489" s="139"/>
      <c r="AF489" s="140"/>
      <c r="AG489" s="140"/>
      <c r="AH489" s="140"/>
      <c r="AI489" s="140"/>
      <c r="AJ489" s="140"/>
      <c r="AK489" s="140"/>
      <c r="AL489" s="140"/>
      <c r="AM489" s="140"/>
      <c r="AN489" s="140"/>
      <c r="AO489" s="140"/>
      <c r="AP489" s="140"/>
      <c r="AQ489" s="140"/>
      <c r="AR489" s="140"/>
      <c r="AS489" s="140"/>
      <c r="AT489" s="140"/>
      <c r="AU489" s="140"/>
      <c r="AV489" s="140"/>
      <c r="AW489" s="140"/>
      <c r="AX489" s="140"/>
      <c r="AY489" s="140"/>
      <c r="AZ489" s="140"/>
      <c r="BA489" s="140"/>
      <c r="BB489" s="140"/>
      <c r="BC489" s="140"/>
      <c r="BD489" s="140"/>
      <c r="BE489" s="140"/>
    </row>
    <row r="490" s="119" customFormat="1" ht="60" customHeight="1" outlineLevel="2" spans="1:57">
      <c r="A490" s="162">
        <f>1+N(A489)</f>
        <v>5</v>
      </c>
      <c r="B490" s="14" t="s">
        <v>91</v>
      </c>
      <c r="C490" s="15" t="s">
        <v>92</v>
      </c>
      <c r="D490" s="142" t="s">
        <v>70</v>
      </c>
      <c r="E490" s="143">
        <v>27.791</v>
      </c>
      <c r="F490" s="143">
        <f>$F$22</f>
        <v>12</v>
      </c>
      <c r="G490" s="143">
        <f>$G$22</f>
        <v>25.75</v>
      </c>
      <c r="H490" s="143">
        <f>$H$22</f>
        <v>3.8</v>
      </c>
      <c r="I490" s="17">
        <f>(F490+G490+H490)*$I$3</f>
        <v>4.155</v>
      </c>
      <c r="J490" s="18">
        <f>ROUND(SUM(F490:I490),2)</f>
        <v>45.71</v>
      </c>
      <c r="K490" s="19">
        <f>ROUND(J490*E490,2)</f>
        <v>1270.33</v>
      </c>
      <c r="L490" s="178"/>
      <c r="M490" s="139">
        <v>1</v>
      </c>
      <c r="N490" s="139">
        <v>1154.72</v>
      </c>
      <c r="O490" s="139"/>
      <c r="P490" s="37">
        <f>Q490+Q490*R490+S490+T490+U490</f>
        <v>41.55</v>
      </c>
      <c r="Q490" s="99">
        <f>$Q$22</f>
        <v>25</v>
      </c>
      <c r="R490" s="163">
        <f>$R$22</f>
        <v>0.03</v>
      </c>
      <c r="S490" s="99">
        <f>$S$22</f>
        <v>12</v>
      </c>
      <c r="T490" s="99">
        <f>$T$22</f>
        <v>3.5</v>
      </c>
      <c r="U490" s="99">
        <f>$U$22</f>
        <v>0.3</v>
      </c>
      <c r="V490" s="37">
        <f>P490*E490</f>
        <v>1154.71605</v>
      </c>
      <c r="W490" s="139"/>
      <c r="X490" s="139"/>
      <c r="Y490" s="139"/>
      <c r="Z490" s="139"/>
      <c r="AA490" s="139"/>
      <c r="AB490" s="139"/>
      <c r="AC490" s="139"/>
      <c r="AD490" s="139"/>
      <c r="AE490" s="139"/>
      <c r="AF490" s="140"/>
      <c r="AG490" s="140"/>
      <c r="AH490" s="140"/>
      <c r="AI490" s="140"/>
      <c r="AJ490" s="140"/>
      <c r="AK490" s="140"/>
      <c r="AL490" s="140"/>
      <c r="AM490" s="140"/>
      <c r="AN490" s="140"/>
      <c r="AO490" s="140"/>
      <c r="AP490" s="140"/>
      <c r="AQ490" s="140"/>
      <c r="AR490" s="140"/>
      <c r="AS490" s="140"/>
      <c r="AT490" s="140"/>
      <c r="AU490" s="140"/>
      <c r="AV490" s="140"/>
      <c r="AW490" s="140"/>
      <c r="AX490" s="140"/>
      <c r="AY490" s="140"/>
      <c r="AZ490" s="140"/>
      <c r="BA490" s="140"/>
      <c r="BB490" s="140"/>
      <c r="BC490" s="140"/>
      <c r="BD490" s="140"/>
      <c r="BE490" s="140"/>
    </row>
    <row r="491" s="119" customFormat="1" ht="24" customHeight="1" outlineLevel="1" spans="1:57">
      <c r="A491" s="141"/>
      <c r="B491" s="14" t="s">
        <v>101</v>
      </c>
      <c r="C491" s="15"/>
      <c r="D491" s="142"/>
      <c r="E491" s="143"/>
      <c r="F491" s="143"/>
      <c r="G491" s="143"/>
      <c r="H491" s="143"/>
      <c r="I491" s="143"/>
      <c r="J491" s="143"/>
      <c r="K491" s="144"/>
      <c r="L491" s="178"/>
      <c r="M491" s="139"/>
      <c r="N491" s="139"/>
      <c r="O491" s="139"/>
      <c r="P491" s="137"/>
      <c r="Q491" s="137"/>
      <c r="R491" s="138"/>
      <c r="S491" s="137"/>
      <c r="T491" s="137"/>
      <c r="U491" s="137"/>
      <c r="V491" s="137"/>
      <c r="W491" s="139"/>
      <c r="X491" s="139"/>
      <c r="Y491" s="139"/>
      <c r="Z491" s="139"/>
      <c r="AA491" s="139"/>
      <c r="AB491" s="139"/>
      <c r="AC491" s="139"/>
      <c r="AD491" s="139"/>
      <c r="AE491" s="139"/>
      <c r="AF491" s="140"/>
      <c r="AG491" s="140"/>
      <c r="AH491" s="140"/>
      <c r="AI491" s="140"/>
      <c r="AJ491" s="140"/>
      <c r="AK491" s="140"/>
      <c r="AL491" s="140"/>
      <c r="AM491" s="140"/>
      <c r="AN491" s="140"/>
      <c r="AO491" s="140"/>
      <c r="AP491" s="140"/>
      <c r="AQ491" s="140"/>
      <c r="AR491" s="140"/>
      <c r="AS491" s="140"/>
      <c r="AT491" s="140"/>
      <c r="AU491" s="140"/>
      <c r="AV491" s="140"/>
      <c r="AW491" s="140"/>
      <c r="AX491" s="140"/>
      <c r="AY491" s="140"/>
      <c r="AZ491" s="140"/>
      <c r="BA491" s="140"/>
      <c r="BB491" s="140"/>
      <c r="BC491" s="140"/>
      <c r="BD491" s="140"/>
      <c r="BE491" s="140"/>
    </row>
    <row r="492" s="119" customFormat="1" ht="96" customHeight="1" outlineLevel="2" spans="1:57">
      <c r="A492" s="145">
        <f t="shared" ref="A492:A497" si="126">1+N(A491)</f>
        <v>1</v>
      </c>
      <c r="B492" s="146" t="s">
        <v>277</v>
      </c>
      <c r="C492" s="161" t="s">
        <v>103</v>
      </c>
      <c r="D492" s="148" t="s">
        <v>63</v>
      </c>
      <c r="E492" s="149">
        <v>26.72</v>
      </c>
      <c r="F492" s="149">
        <f>S492*$S$1</f>
        <v>85</v>
      </c>
      <c r="G492" s="149">
        <f>Q492*(1+R492)*$Q$1</f>
        <v>0</v>
      </c>
      <c r="H492" s="149">
        <f>(T492+U492)*$T$1</f>
        <v>71.425</v>
      </c>
      <c r="I492" s="150">
        <f t="shared" ref="I492:I497" si="127">(F492+G492+H492)*$I$3</f>
        <v>15.6425</v>
      </c>
      <c r="J492" s="151">
        <f t="shared" ref="J492:J497" si="128">ROUND(SUM(F492:I492),2)</f>
        <v>172.07</v>
      </c>
      <c r="K492" s="152">
        <f t="shared" ref="K492:K497" si="129">ROUND(J492*E492,2)</f>
        <v>4597.71</v>
      </c>
      <c r="L492" s="153"/>
      <c r="M492" s="139">
        <v>1</v>
      </c>
      <c r="N492" s="139">
        <v>4179.81</v>
      </c>
      <c r="O492" s="139"/>
      <c r="P492" s="37">
        <f t="shared" ref="P492:P497" si="130">Q492+Q492*R492+S492+T492+U492</f>
        <v>156.425</v>
      </c>
      <c r="Q492" s="71">
        <v>0</v>
      </c>
      <c r="R492" s="157">
        <v>0.01</v>
      </c>
      <c r="S492" s="71">
        <v>85</v>
      </c>
      <c r="T492" s="71">
        <v>69.425</v>
      </c>
      <c r="U492" s="71">
        <v>2</v>
      </c>
      <c r="V492" s="37">
        <f t="shared" ref="V492:V497" si="131">P492*E492</f>
        <v>4179.676</v>
      </c>
      <c r="W492" s="139"/>
      <c r="X492" s="139"/>
      <c r="Y492" s="139"/>
      <c r="Z492" s="139"/>
      <c r="AA492" s="139"/>
      <c r="AB492" s="139"/>
      <c r="AC492" s="139"/>
      <c r="AD492" s="139"/>
      <c r="AE492" s="139"/>
      <c r="AF492" s="140"/>
      <c r="AG492" s="140"/>
      <c r="AH492" s="140"/>
      <c r="AI492" s="140"/>
      <c r="AJ492" s="140"/>
      <c r="AK492" s="140"/>
      <c r="AL492" s="140"/>
      <c r="AM492" s="140"/>
      <c r="AN492" s="140"/>
      <c r="AO492" s="140"/>
      <c r="AP492" s="140"/>
      <c r="AQ492" s="140"/>
      <c r="AR492" s="140"/>
      <c r="AS492" s="140"/>
      <c r="AT492" s="140"/>
      <c r="AU492" s="140"/>
      <c r="AV492" s="140"/>
      <c r="AW492" s="140"/>
      <c r="AX492" s="140"/>
      <c r="AY492" s="140"/>
      <c r="AZ492" s="140"/>
      <c r="BA492" s="140"/>
      <c r="BB492" s="140"/>
      <c r="BC492" s="140"/>
      <c r="BD492" s="140"/>
      <c r="BE492" s="140"/>
    </row>
    <row r="493" s="119" customFormat="1" ht="72" customHeight="1" outlineLevel="2" spans="1:57">
      <c r="A493" s="162">
        <f t="shared" si="126"/>
        <v>2</v>
      </c>
      <c r="B493" s="14" t="s">
        <v>133</v>
      </c>
      <c r="C493" s="167" t="s">
        <v>134</v>
      </c>
      <c r="D493" s="142" t="s">
        <v>63</v>
      </c>
      <c r="E493" s="143">
        <v>2.58</v>
      </c>
      <c r="F493" s="143">
        <f>$F$76</f>
        <v>80</v>
      </c>
      <c r="G493" s="143">
        <f>$G$76</f>
        <v>232.3</v>
      </c>
      <c r="H493" s="143">
        <f>$H$76</f>
        <v>37.3</v>
      </c>
      <c r="I493" s="17">
        <f t="shared" si="127"/>
        <v>34.96</v>
      </c>
      <c r="J493" s="18">
        <f t="shared" si="128"/>
        <v>384.56</v>
      </c>
      <c r="K493" s="19">
        <f t="shared" si="129"/>
        <v>992.16</v>
      </c>
      <c r="L493" s="178"/>
      <c r="M493" s="139">
        <v>1</v>
      </c>
      <c r="N493" s="139">
        <v>901.97</v>
      </c>
      <c r="O493" s="139"/>
      <c r="P493" s="37">
        <f t="shared" si="130"/>
        <v>349.6</v>
      </c>
      <c r="Q493" s="99">
        <f>$Q$76</f>
        <v>230</v>
      </c>
      <c r="R493" s="163">
        <f>$R$76</f>
        <v>0.01</v>
      </c>
      <c r="S493" s="99">
        <f>$S$76</f>
        <v>80</v>
      </c>
      <c r="T493" s="99">
        <f>$T$76</f>
        <v>37</v>
      </c>
      <c r="U493" s="99">
        <f>$U$76</f>
        <v>0.3</v>
      </c>
      <c r="V493" s="37">
        <f t="shared" si="131"/>
        <v>901.968</v>
      </c>
      <c r="W493" s="139"/>
      <c r="X493" s="139"/>
      <c r="Y493" s="139"/>
      <c r="Z493" s="139"/>
      <c r="AA493" s="139"/>
      <c r="AB493" s="139"/>
      <c r="AC493" s="139"/>
      <c r="AD493" s="139"/>
      <c r="AE493" s="139"/>
      <c r="AF493" s="140"/>
      <c r="AG493" s="140"/>
      <c r="AH493" s="140"/>
      <c r="AI493" s="140"/>
      <c r="AJ493" s="140"/>
      <c r="AK493" s="140"/>
      <c r="AL493" s="140"/>
      <c r="AM493" s="140"/>
      <c r="AN493" s="140"/>
      <c r="AO493" s="140"/>
      <c r="AP493" s="140"/>
      <c r="AQ493" s="140"/>
      <c r="AR493" s="140"/>
      <c r="AS493" s="140"/>
      <c r="AT493" s="140"/>
      <c r="AU493" s="140"/>
      <c r="AV493" s="140"/>
      <c r="AW493" s="140"/>
      <c r="AX493" s="140"/>
      <c r="AY493" s="140"/>
      <c r="AZ493" s="140"/>
      <c r="BA493" s="140"/>
      <c r="BB493" s="140"/>
      <c r="BC493" s="140"/>
      <c r="BD493" s="140"/>
      <c r="BE493" s="140"/>
    </row>
    <row r="494" s="119" customFormat="1" ht="60" customHeight="1" outlineLevel="2" spans="1:57">
      <c r="A494" s="162">
        <f t="shared" si="126"/>
        <v>3</v>
      </c>
      <c r="B494" s="14" t="s">
        <v>108</v>
      </c>
      <c r="C494" s="15" t="s">
        <v>109</v>
      </c>
      <c r="D494" s="142" t="s">
        <v>70</v>
      </c>
      <c r="E494" s="143">
        <f>1.2*2*1</f>
        <v>2.4</v>
      </c>
      <c r="F494" s="143">
        <f>$F$31</f>
        <v>30</v>
      </c>
      <c r="G494" s="143">
        <f>$G$31</f>
        <v>65.6625</v>
      </c>
      <c r="H494" s="143">
        <f>$H$31</f>
        <v>2.7</v>
      </c>
      <c r="I494" s="17">
        <f t="shared" si="127"/>
        <v>9.83625</v>
      </c>
      <c r="J494" s="18">
        <f t="shared" si="128"/>
        <v>108.2</v>
      </c>
      <c r="K494" s="19">
        <f t="shared" si="129"/>
        <v>259.68</v>
      </c>
      <c r="L494" s="178"/>
      <c r="M494" s="139">
        <v>1</v>
      </c>
      <c r="N494" s="139">
        <v>236.06</v>
      </c>
      <c r="O494" s="139"/>
      <c r="P494" s="37">
        <f t="shared" si="130"/>
        <v>98.3625</v>
      </c>
      <c r="Q494" s="99">
        <f>$Q$31</f>
        <v>63.75</v>
      </c>
      <c r="R494" s="163">
        <f>$R$31</f>
        <v>0.03</v>
      </c>
      <c r="S494" s="99">
        <f>$S$31</f>
        <v>30</v>
      </c>
      <c r="T494" s="99">
        <f>$T$31</f>
        <v>2.5</v>
      </c>
      <c r="U494" s="99">
        <f>$U$31</f>
        <v>0.2</v>
      </c>
      <c r="V494" s="37">
        <f t="shared" si="131"/>
        <v>236.07</v>
      </c>
      <c r="W494" s="139"/>
      <c r="X494" s="139"/>
      <c r="Y494" s="139"/>
      <c r="Z494" s="139"/>
      <c r="AA494" s="139"/>
      <c r="AB494" s="139"/>
      <c r="AC494" s="139"/>
      <c r="AD494" s="139"/>
      <c r="AE494" s="139"/>
      <c r="AF494" s="140"/>
      <c r="AG494" s="140"/>
      <c r="AH494" s="140"/>
      <c r="AI494" s="140"/>
      <c r="AJ494" s="140"/>
      <c r="AK494" s="140"/>
      <c r="AL494" s="140"/>
      <c r="AM494" s="140"/>
      <c r="AN494" s="140"/>
      <c r="AO494" s="140"/>
      <c r="AP494" s="140"/>
      <c r="AQ494" s="140"/>
      <c r="AR494" s="140"/>
      <c r="AS494" s="140"/>
      <c r="AT494" s="140"/>
      <c r="AU494" s="140"/>
      <c r="AV494" s="140"/>
      <c r="AW494" s="140"/>
      <c r="AX494" s="140"/>
      <c r="AY494" s="140"/>
      <c r="AZ494" s="140"/>
      <c r="BA494" s="140"/>
      <c r="BB494" s="140"/>
      <c r="BC494" s="140"/>
      <c r="BD494" s="140"/>
      <c r="BE494" s="140"/>
    </row>
    <row r="495" s="119" customFormat="1" ht="60" customHeight="1" outlineLevel="2" spans="1:57">
      <c r="A495" s="162">
        <f t="shared" si="126"/>
        <v>4</v>
      </c>
      <c r="B495" s="14" t="s">
        <v>104</v>
      </c>
      <c r="C495" s="15" t="s">
        <v>105</v>
      </c>
      <c r="D495" s="142" t="s">
        <v>70</v>
      </c>
      <c r="E495" s="143">
        <v>7.84</v>
      </c>
      <c r="F495" s="143">
        <f>$F$29</f>
        <v>50</v>
      </c>
      <c r="G495" s="143">
        <f>$G$29</f>
        <v>0</v>
      </c>
      <c r="H495" s="143">
        <f>$H$29</f>
        <v>22.0941</v>
      </c>
      <c r="I495" s="17">
        <f t="shared" si="127"/>
        <v>7.20941</v>
      </c>
      <c r="J495" s="18">
        <f t="shared" si="128"/>
        <v>79.3</v>
      </c>
      <c r="K495" s="19">
        <f t="shared" si="129"/>
        <v>621.71</v>
      </c>
      <c r="L495" s="178"/>
      <c r="M495" s="139">
        <v>1</v>
      </c>
      <c r="N495" s="139">
        <v>565.19</v>
      </c>
      <c r="O495" s="139"/>
      <c r="P495" s="37">
        <f t="shared" si="130"/>
        <v>72.0941</v>
      </c>
      <c r="Q495" s="99">
        <f>$Q$29</f>
        <v>0</v>
      </c>
      <c r="R495" s="163">
        <f>$R$29</f>
        <v>0.01</v>
      </c>
      <c r="S495" s="99">
        <f>$S$29</f>
        <v>50</v>
      </c>
      <c r="T495" s="99">
        <f>$T$29</f>
        <v>22.0941</v>
      </c>
      <c r="U495" s="99">
        <f>$U$29</f>
        <v>0</v>
      </c>
      <c r="V495" s="37">
        <f t="shared" si="131"/>
        <v>565.217744</v>
      </c>
      <c r="W495" s="139"/>
      <c r="X495" s="139"/>
      <c r="Y495" s="139"/>
      <c r="Z495" s="139"/>
      <c r="AA495" s="139"/>
      <c r="AB495" s="139"/>
      <c r="AC495" s="139"/>
      <c r="AD495" s="139"/>
      <c r="AE495" s="139"/>
      <c r="AF495" s="140"/>
      <c r="AG495" s="140"/>
      <c r="AH495" s="140"/>
      <c r="AI495" s="140"/>
      <c r="AJ495" s="140"/>
      <c r="AK495" s="140"/>
      <c r="AL495" s="140"/>
      <c r="AM495" s="140"/>
      <c r="AN495" s="140"/>
      <c r="AO495" s="140"/>
      <c r="AP495" s="140"/>
      <c r="AQ495" s="140"/>
      <c r="AR495" s="140"/>
      <c r="AS495" s="140"/>
      <c r="AT495" s="140"/>
      <c r="AU495" s="140"/>
      <c r="AV495" s="140"/>
      <c r="AW495" s="140"/>
      <c r="AX495" s="140"/>
      <c r="AY495" s="140"/>
      <c r="AZ495" s="140"/>
      <c r="BA495" s="140"/>
      <c r="BB495" s="140"/>
      <c r="BC495" s="140"/>
      <c r="BD495" s="140"/>
      <c r="BE495" s="140"/>
    </row>
    <row r="496" s="119" customFormat="1" ht="60" customHeight="1" outlineLevel="2" spans="1:57">
      <c r="A496" s="162">
        <f t="shared" si="126"/>
        <v>5</v>
      </c>
      <c r="B496" s="14" t="s">
        <v>106</v>
      </c>
      <c r="C496" s="15" t="s">
        <v>107</v>
      </c>
      <c r="D496" s="142" t="s">
        <v>70</v>
      </c>
      <c r="E496" s="143">
        <v>7.84</v>
      </c>
      <c r="F496" s="143">
        <f>$F$30</f>
        <v>18</v>
      </c>
      <c r="G496" s="143">
        <f>$G$30</f>
        <v>163.255</v>
      </c>
      <c r="H496" s="143">
        <f>$H$30</f>
        <v>3.8</v>
      </c>
      <c r="I496" s="17">
        <f t="shared" si="127"/>
        <v>18.5055</v>
      </c>
      <c r="J496" s="18">
        <f t="shared" si="128"/>
        <v>203.56</v>
      </c>
      <c r="K496" s="19">
        <f t="shared" si="129"/>
        <v>1595.91</v>
      </c>
      <c r="L496" s="178"/>
      <c r="M496" s="139">
        <v>1</v>
      </c>
      <c r="N496" s="139">
        <v>1450.87</v>
      </c>
      <c r="O496" s="139"/>
      <c r="P496" s="37">
        <f t="shared" si="130"/>
        <v>185.055</v>
      </c>
      <c r="Q496" s="99">
        <f>$Q$30</f>
        <v>158.5</v>
      </c>
      <c r="R496" s="163">
        <f>$R$30</f>
        <v>0.03</v>
      </c>
      <c r="S496" s="99">
        <f>$S$30</f>
        <v>18</v>
      </c>
      <c r="T496" s="99">
        <f>$T$30</f>
        <v>3.5</v>
      </c>
      <c r="U496" s="99">
        <f>$U$30</f>
        <v>0.3</v>
      </c>
      <c r="V496" s="37">
        <f t="shared" si="131"/>
        <v>1450.8312</v>
      </c>
      <c r="W496" s="139"/>
      <c r="X496" s="139"/>
      <c r="Y496" s="139"/>
      <c r="Z496" s="139"/>
      <c r="AA496" s="139"/>
      <c r="AB496" s="139"/>
      <c r="AC496" s="139"/>
      <c r="AD496" s="139"/>
      <c r="AE496" s="139"/>
      <c r="AF496" s="140"/>
      <c r="AG496" s="140"/>
      <c r="AH496" s="140"/>
      <c r="AI496" s="140"/>
      <c r="AJ496" s="140"/>
      <c r="AK496" s="140"/>
      <c r="AL496" s="140"/>
      <c r="AM496" s="140"/>
      <c r="AN496" s="140"/>
      <c r="AO496" s="140"/>
      <c r="AP496" s="140"/>
      <c r="AQ496" s="140"/>
      <c r="AR496" s="140"/>
      <c r="AS496" s="140"/>
      <c r="AT496" s="140"/>
      <c r="AU496" s="140"/>
      <c r="AV496" s="140"/>
      <c r="AW496" s="140"/>
      <c r="AX496" s="140"/>
      <c r="AY496" s="140"/>
      <c r="AZ496" s="140"/>
      <c r="BA496" s="140"/>
      <c r="BB496" s="140"/>
      <c r="BC496" s="140"/>
      <c r="BD496" s="140"/>
      <c r="BE496" s="140"/>
    </row>
    <row r="497" s="119" customFormat="1" ht="72" customHeight="1" outlineLevel="2" spans="1:57">
      <c r="A497" s="162">
        <f t="shared" si="126"/>
        <v>6</v>
      </c>
      <c r="B497" s="14" t="s">
        <v>110</v>
      </c>
      <c r="C497" s="15" t="s">
        <v>111</v>
      </c>
      <c r="D497" s="142" t="s">
        <v>63</v>
      </c>
      <c r="E497" s="143">
        <f>26.72+7.84*0.3+7.5*0.5</f>
        <v>32.822</v>
      </c>
      <c r="F497" s="143">
        <f>$F$32</f>
        <v>45</v>
      </c>
      <c r="G497" s="143">
        <f>$G$32</f>
        <v>85.5</v>
      </c>
      <c r="H497" s="143">
        <f>$H$32</f>
        <v>7.3</v>
      </c>
      <c r="I497" s="17">
        <f t="shared" si="127"/>
        <v>13.78</v>
      </c>
      <c r="J497" s="18">
        <f t="shared" si="128"/>
        <v>151.58</v>
      </c>
      <c r="K497" s="19">
        <f t="shared" si="129"/>
        <v>4975.16</v>
      </c>
      <c r="L497" s="178"/>
      <c r="M497" s="139">
        <v>1</v>
      </c>
      <c r="N497" s="139">
        <v>4522.87</v>
      </c>
      <c r="O497" s="139"/>
      <c r="P497" s="37">
        <f t="shared" si="130"/>
        <v>137.8</v>
      </c>
      <c r="Q497" s="99">
        <f>$Q$32</f>
        <v>85.5</v>
      </c>
      <c r="R497" s="163">
        <f>$R$32</f>
        <v>0</v>
      </c>
      <c r="S497" s="99">
        <f>$S$32</f>
        <v>45</v>
      </c>
      <c r="T497" s="99">
        <f>$T$32</f>
        <v>6.5</v>
      </c>
      <c r="U497" s="99">
        <f>$U$32</f>
        <v>0.8</v>
      </c>
      <c r="V497" s="37">
        <f t="shared" si="131"/>
        <v>4522.8716</v>
      </c>
      <c r="W497" s="139"/>
      <c r="X497" s="139"/>
      <c r="Y497" s="139"/>
      <c r="Z497" s="139"/>
      <c r="AA497" s="139"/>
      <c r="AB497" s="139"/>
      <c r="AC497" s="139"/>
      <c r="AD497" s="139"/>
      <c r="AE497" s="139"/>
      <c r="AF497" s="140"/>
      <c r="AG497" s="140"/>
      <c r="AH497" s="140"/>
      <c r="AI497" s="140"/>
      <c r="AJ497" s="140"/>
      <c r="AK497" s="140"/>
      <c r="AL497" s="140"/>
      <c r="AM497" s="140"/>
      <c r="AN497" s="140"/>
      <c r="AO497" s="140"/>
      <c r="AP497" s="140"/>
      <c r="AQ497" s="140"/>
      <c r="AR497" s="140"/>
      <c r="AS497" s="140"/>
      <c r="AT497" s="140"/>
      <c r="AU497" s="140"/>
      <c r="AV497" s="140"/>
      <c r="AW497" s="140"/>
      <c r="AX497" s="140"/>
      <c r="AY497" s="140"/>
      <c r="AZ497" s="140"/>
      <c r="BA497" s="140"/>
      <c r="BB497" s="140"/>
      <c r="BC497" s="140"/>
      <c r="BD497" s="140"/>
      <c r="BE497" s="140"/>
    </row>
    <row r="498" s="119" customFormat="1" ht="24" customHeight="1" outlineLevel="1" spans="1:57">
      <c r="A498" s="141"/>
      <c r="B498" s="14" t="s">
        <v>112</v>
      </c>
      <c r="C498" s="15"/>
      <c r="D498" s="142"/>
      <c r="E498" s="143"/>
      <c r="F498" s="143"/>
      <c r="G498" s="143"/>
      <c r="H498" s="143"/>
      <c r="I498" s="143"/>
      <c r="J498" s="143"/>
      <c r="K498" s="144"/>
      <c r="L498" s="178"/>
      <c r="M498" s="139"/>
      <c r="N498" s="139"/>
      <c r="O498" s="139"/>
      <c r="P498" s="137"/>
      <c r="Q498" s="137"/>
      <c r="R498" s="138"/>
      <c r="S498" s="137"/>
      <c r="T498" s="137"/>
      <c r="U498" s="137"/>
      <c r="V498" s="137"/>
      <c r="W498" s="139"/>
      <c r="X498" s="139"/>
      <c r="Y498" s="139"/>
      <c r="Z498" s="139"/>
      <c r="AA498" s="139"/>
      <c r="AB498" s="139"/>
      <c r="AC498" s="139"/>
      <c r="AD498" s="139"/>
      <c r="AE498" s="139"/>
      <c r="AF498" s="140"/>
      <c r="AG498" s="140"/>
      <c r="AH498" s="140"/>
      <c r="AI498" s="140"/>
      <c r="AJ498" s="140"/>
      <c r="AK498" s="140"/>
      <c r="AL498" s="140"/>
      <c r="AM498" s="140"/>
      <c r="AN498" s="140"/>
      <c r="AO498" s="140"/>
      <c r="AP498" s="140"/>
      <c r="AQ498" s="140"/>
      <c r="AR498" s="140"/>
      <c r="AS498" s="140"/>
      <c r="AT498" s="140"/>
      <c r="AU498" s="140"/>
      <c r="AV498" s="140"/>
      <c r="AW498" s="140"/>
      <c r="AX498" s="140"/>
      <c r="AY498" s="140"/>
      <c r="AZ498" s="140"/>
      <c r="BA498" s="140"/>
      <c r="BB498" s="140"/>
      <c r="BC498" s="140"/>
      <c r="BD498" s="140"/>
      <c r="BE498" s="140"/>
    </row>
    <row r="499" s="119" customFormat="1" ht="36" customHeight="1" outlineLevel="2" spans="1:57">
      <c r="A499" s="162">
        <f>1+N(A498)</f>
        <v>1</v>
      </c>
      <c r="B499" s="14" t="s">
        <v>126</v>
      </c>
      <c r="C499" s="15" t="s">
        <v>114</v>
      </c>
      <c r="D499" s="142" t="s">
        <v>63</v>
      </c>
      <c r="E499" s="143">
        <f>0.8*3.4</f>
        <v>2.72</v>
      </c>
      <c r="F499" s="143">
        <f>$F$60</f>
        <v>165</v>
      </c>
      <c r="G499" s="143">
        <f>$G$60</f>
        <v>85</v>
      </c>
      <c r="H499" s="143">
        <f>$H$60</f>
        <v>355.1744</v>
      </c>
      <c r="I499" s="17">
        <f>(F499+G499+H499)*$I$3</f>
        <v>60.51744</v>
      </c>
      <c r="J499" s="18">
        <f>ROUND(SUM(F499:I499),2)</f>
        <v>665.69</v>
      </c>
      <c r="K499" s="19">
        <f>ROUND(J499*E499,2)</f>
        <v>1810.68</v>
      </c>
      <c r="L499" s="178"/>
      <c r="M499" s="139">
        <v>1</v>
      </c>
      <c r="N499" s="139">
        <v>1646.06</v>
      </c>
      <c r="O499" s="139"/>
      <c r="P499" s="37">
        <f>Q499+Q499*R499+S499+T499+U499</f>
        <v>605.1744</v>
      </c>
      <c r="Q499" s="99">
        <f>$Q$60</f>
        <v>85</v>
      </c>
      <c r="R499" s="163">
        <f>$R$60</f>
        <v>0</v>
      </c>
      <c r="S499" s="99">
        <f>$S$60</f>
        <v>165</v>
      </c>
      <c r="T499" s="99">
        <f>$T$60</f>
        <v>353.6744</v>
      </c>
      <c r="U499" s="99">
        <f>$U$60</f>
        <v>1.5</v>
      </c>
      <c r="V499" s="37">
        <f>P499*E499</f>
        <v>1646.074368</v>
      </c>
      <c r="W499" s="139"/>
      <c r="X499" s="139"/>
      <c r="Y499" s="139"/>
      <c r="Z499" s="139"/>
      <c r="AA499" s="139"/>
      <c r="AB499" s="139"/>
      <c r="AC499" s="139"/>
      <c r="AD499" s="139"/>
      <c r="AE499" s="139"/>
      <c r="AF499" s="140"/>
      <c r="AG499" s="140"/>
      <c r="AH499" s="140"/>
      <c r="AI499" s="140"/>
      <c r="AJ499" s="140"/>
      <c r="AK499" s="140"/>
      <c r="AL499" s="140"/>
      <c r="AM499" s="140"/>
      <c r="AN499" s="140"/>
      <c r="AO499" s="140"/>
      <c r="AP499" s="140"/>
      <c r="AQ499" s="140"/>
      <c r="AR499" s="140"/>
      <c r="AS499" s="140"/>
      <c r="AT499" s="140"/>
      <c r="AU499" s="140"/>
      <c r="AV499" s="140"/>
      <c r="AW499" s="140"/>
      <c r="AX499" s="140"/>
      <c r="AY499" s="140"/>
      <c r="AZ499" s="140"/>
      <c r="BA499" s="140"/>
      <c r="BB499" s="140"/>
      <c r="BC499" s="140"/>
      <c r="BD499" s="140"/>
      <c r="BE499" s="140"/>
    </row>
    <row r="500" s="119" customFormat="1" ht="36" customHeight="1" outlineLevel="2" spans="1:57">
      <c r="A500" s="145">
        <f>1+N(A499)</f>
        <v>2</v>
      </c>
      <c r="B500" s="146" t="s">
        <v>278</v>
      </c>
      <c r="C500" s="147" t="s">
        <v>114</v>
      </c>
      <c r="D500" s="148" t="s">
        <v>63</v>
      </c>
      <c r="E500" s="149">
        <f>1*3.4</f>
        <v>3.4</v>
      </c>
      <c r="F500" s="149">
        <f>S500*$S$1</f>
        <v>165</v>
      </c>
      <c r="G500" s="149">
        <f>Q500*(1+R500)*$Q$1</f>
        <v>0</v>
      </c>
      <c r="H500" s="149">
        <f>(T500+U500)*$T$1</f>
        <v>355.1744</v>
      </c>
      <c r="I500" s="150">
        <f>(F500+G500+H500)*$I$3</f>
        <v>52.01744</v>
      </c>
      <c r="J500" s="151">
        <f>ROUND(SUM(F500:I500),2)</f>
        <v>572.19</v>
      </c>
      <c r="K500" s="152">
        <f>ROUND(J500*E500,2)</f>
        <v>1945.45</v>
      </c>
      <c r="L500" s="178"/>
      <c r="M500" s="139">
        <v>1</v>
      </c>
      <c r="N500" s="139">
        <v>1768.58</v>
      </c>
      <c r="O500" s="139"/>
      <c r="P500" s="37">
        <f>Q500+Q500*R500+S500+T500+U500</f>
        <v>520.1744</v>
      </c>
      <c r="Q500" s="71"/>
      <c r="R500" s="157">
        <v>0</v>
      </c>
      <c r="S500" s="71">
        <v>165</v>
      </c>
      <c r="T500" s="71">
        <v>353.6744</v>
      </c>
      <c r="U500" s="71">
        <v>1.5</v>
      </c>
      <c r="V500" s="37">
        <f>P500*E500</f>
        <v>1768.59296</v>
      </c>
      <c r="W500" s="139"/>
      <c r="X500" s="139"/>
      <c r="Y500" s="139"/>
      <c r="Z500" s="139"/>
      <c r="AA500" s="139"/>
      <c r="AB500" s="139"/>
      <c r="AC500" s="139"/>
      <c r="AD500" s="139"/>
      <c r="AE500" s="139"/>
      <c r="AF500" s="140"/>
      <c r="AG500" s="140"/>
      <c r="AH500" s="140"/>
      <c r="AI500" s="140"/>
      <c r="AJ500" s="140"/>
      <c r="AK500" s="140"/>
      <c r="AL500" s="140"/>
      <c r="AM500" s="140"/>
      <c r="AN500" s="140"/>
      <c r="AO500" s="140"/>
      <c r="AP500" s="140"/>
      <c r="AQ500" s="140"/>
      <c r="AR500" s="140"/>
      <c r="AS500" s="140"/>
      <c r="AT500" s="140"/>
      <c r="AU500" s="140"/>
      <c r="AV500" s="140"/>
      <c r="AW500" s="140"/>
      <c r="AX500" s="140"/>
      <c r="AY500" s="140"/>
      <c r="AZ500" s="140"/>
      <c r="BA500" s="140"/>
      <c r="BB500" s="140"/>
      <c r="BC500" s="140"/>
      <c r="BD500" s="140"/>
      <c r="BE500" s="140"/>
    </row>
    <row r="501" s="119" customFormat="1" ht="24" customHeight="1" outlineLevel="1" spans="1:57">
      <c r="A501" s="132" t="s">
        <v>119</v>
      </c>
      <c r="B501" s="8" t="s">
        <v>279</v>
      </c>
      <c r="C501" s="180"/>
      <c r="D501" s="133"/>
      <c r="E501" s="134"/>
      <c r="F501" s="134"/>
      <c r="G501" s="134"/>
      <c r="H501" s="134"/>
      <c r="I501" s="134"/>
      <c r="J501" s="134"/>
      <c r="K501" s="11"/>
      <c r="L501" s="178"/>
      <c r="M501" s="139"/>
      <c r="N501" s="139"/>
      <c r="O501" s="139" t="str">
        <f>_xlfn.DISPIMG("ID_8A814E5DB4FF4E14942A30434ADDD1AE",1)</f>
        <v>=DISPIMG("ID_8A814E5DB4FF4E14942A30434ADDD1AE",1)</v>
      </c>
      <c r="P501" s="137"/>
      <c r="Q501" s="137"/>
      <c r="R501" s="138"/>
      <c r="S501" s="137"/>
      <c r="T501" s="137"/>
      <c r="U501" s="137"/>
      <c r="V501" s="137"/>
      <c r="W501" s="139"/>
      <c r="X501" s="139"/>
      <c r="Y501" s="139"/>
      <c r="Z501" s="139"/>
      <c r="AA501" s="139"/>
      <c r="AB501" s="139"/>
      <c r="AC501" s="139"/>
      <c r="AD501" s="139"/>
      <c r="AE501" s="139"/>
      <c r="AF501" s="140"/>
      <c r="AG501" s="140"/>
      <c r="AH501" s="140"/>
      <c r="AI501" s="140"/>
      <c r="AJ501" s="140"/>
      <c r="AK501" s="140"/>
      <c r="AL501" s="140"/>
      <c r="AM501" s="140"/>
      <c r="AN501" s="140"/>
      <c r="AO501" s="140"/>
      <c r="AP501" s="140"/>
      <c r="AQ501" s="140"/>
      <c r="AR501" s="140"/>
      <c r="AS501" s="140"/>
      <c r="AT501" s="140"/>
      <c r="AU501" s="140"/>
      <c r="AV501" s="140"/>
      <c r="AW501" s="140"/>
      <c r="AX501" s="140"/>
      <c r="AY501" s="140"/>
      <c r="AZ501" s="140"/>
      <c r="BA501" s="140"/>
      <c r="BB501" s="140"/>
      <c r="BC501" s="140"/>
      <c r="BD501" s="140"/>
      <c r="BE501" s="140"/>
    </row>
    <row r="502" s="119" customFormat="1" ht="24" customHeight="1" outlineLevel="1" spans="1:57">
      <c r="A502" s="141"/>
      <c r="B502" s="14" t="s">
        <v>60</v>
      </c>
      <c r="C502" s="15"/>
      <c r="D502" s="142"/>
      <c r="E502" s="143"/>
      <c r="F502" s="143"/>
      <c r="G502" s="143"/>
      <c r="H502" s="143"/>
      <c r="I502" s="143"/>
      <c r="J502" s="143"/>
      <c r="K502" s="144"/>
      <c r="L502" s="178"/>
      <c r="M502" s="139"/>
      <c r="N502" s="139"/>
      <c r="O502" s="139"/>
      <c r="P502" s="137"/>
      <c r="Q502" s="137"/>
      <c r="R502" s="138"/>
      <c r="S502" s="137"/>
      <c r="T502" s="137"/>
      <c r="U502" s="137"/>
      <c r="V502" s="137"/>
      <c r="W502" s="139"/>
      <c r="X502" s="139"/>
      <c r="Y502" s="139"/>
      <c r="Z502" s="139"/>
      <c r="AA502" s="139"/>
      <c r="AB502" s="139"/>
      <c r="AC502" s="139"/>
      <c r="AD502" s="139"/>
      <c r="AE502" s="139"/>
      <c r="AF502" s="140"/>
      <c r="AG502" s="140"/>
      <c r="AH502" s="140"/>
      <c r="AI502" s="140"/>
      <c r="AJ502" s="140"/>
      <c r="AK502" s="140"/>
      <c r="AL502" s="140"/>
      <c r="AM502" s="140"/>
      <c r="AN502" s="140"/>
      <c r="AO502" s="140"/>
      <c r="AP502" s="140"/>
      <c r="AQ502" s="140"/>
      <c r="AR502" s="140"/>
      <c r="AS502" s="140"/>
      <c r="AT502" s="140"/>
      <c r="AU502" s="140"/>
      <c r="AV502" s="140"/>
      <c r="AW502" s="140"/>
      <c r="AX502" s="140"/>
      <c r="AY502" s="140"/>
      <c r="AZ502" s="140"/>
      <c r="BA502" s="140"/>
      <c r="BB502" s="140"/>
      <c r="BC502" s="140"/>
      <c r="BD502" s="140"/>
      <c r="BE502" s="140"/>
    </row>
    <row r="503" s="119" customFormat="1" ht="96" customHeight="1" outlineLevel="2" spans="1:57">
      <c r="A503" s="145">
        <f>1+N(A502)</f>
        <v>1</v>
      </c>
      <c r="B503" s="146" t="s">
        <v>280</v>
      </c>
      <c r="C503" s="147" t="s">
        <v>281</v>
      </c>
      <c r="D503" s="148" t="s">
        <v>63</v>
      </c>
      <c r="E503" s="149">
        <v>17.86</v>
      </c>
      <c r="F503" s="149">
        <f>S503*$S$1</f>
        <v>90</v>
      </c>
      <c r="G503" s="149">
        <f>Q503*(1+R503)*$Q$1</f>
        <v>164.8</v>
      </c>
      <c r="H503" s="150">
        <f>(T503+U503)*$T$1</f>
        <v>50.6</v>
      </c>
      <c r="I503" s="150">
        <f>(F503+G503+H503)*$I$3</f>
        <v>30.54</v>
      </c>
      <c r="J503" s="151">
        <f>ROUND(SUM(F503:I503),2)</f>
        <v>335.94</v>
      </c>
      <c r="K503" s="152">
        <f>ROUND(J503*E503,2)</f>
        <v>5999.89</v>
      </c>
      <c r="L503" s="178"/>
      <c r="M503" s="139">
        <v>1</v>
      </c>
      <c r="N503" s="139">
        <v>5454.44</v>
      </c>
      <c r="O503" s="139"/>
      <c r="P503" s="37">
        <f>Q503+Q503*R503+S503+T503+U503</f>
        <v>305.4</v>
      </c>
      <c r="Q503" s="71">
        <v>160</v>
      </c>
      <c r="R503" s="157">
        <v>0.03</v>
      </c>
      <c r="S503" s="71">
        <v>90</v>
      </c>
      <c r="T503" s="71">
        <v>50.1</v>
      </c>
      <c r="U503" s="71">
        <v>0.5</v>
      </c>
      <c r="V503" s="37">
        <f>P503*E503</f>
        <v>5454.444</v>
      </c>
      <c r="W503" s="139"/>
      <c r="X503" s="139"/>
      <c r="Y503" s="139"/>
      <c r="Z503" s="139"/>
      <c r="AA503" s="139"/>
      <c r="AB503" s="139"/>
      <c r="AC503" s="139"/>
      <c r="AD503" s="139"/>
      <c r="AE503" s="139"/>
      <c r="AF503" s="140"/>
      <c r="AG503" s="140"/>
      <c r="AH503" s="140"/>
      <c r="AI503" s="140"/>
      <c r="AJ503" s="140"/>
      <c r="AK503" s="140"/>
      <c r="AL503" s="140"/>
      <c r="AM503" s="140"/>
      <c r="AN503" s="140"/>
      <c r="AO503" s="140"/>
      <c r="AP503" s="140"/>
      <c r="AQ503" s="140"/>
      <c r="AR503" s="140"/>
      <c r="AS503" s="140"/>
      <c r="AT503" s="140"/>
      <c r="AU503" s="140"/>
      <c r="AV503" s="140"/>
      <c r="AW503" s="140"/>
      <c r="AX503" s="140"/>
      <c r="AY503" s="140"/>
      <c r="AZ503" s="140"/>
      <c r="BA503" s="140"/>
      <c r="BB503" s="140"/>
      <c r="BC503" s="140"/>
      <c r="BD503" s="140"/>
      <c r="BE503" s="140"/>
    </row>
    <row r="504" s="119" customFormat="1" ht="24" customHeight="1" outlineLevel="1" spans="1:57">
      <c r="A504" s="141"/>
      <c r="B504" s="14" t="s">
        <v>73</v>
      </c>
      <c r="C504" s="15"/>
      <c r="D504" s="142"/>
      <c r="E504" s="143"/>
      <c r="F504" s="143"/>
      <c r="G504" s="143"/>
      <c r="H504" s="143"/>
      <c r="I504" s="143"/>
      <c r="J504" s="143"/>
      <c r="K504" s="144"/>
      <c r="L504" s="178"/>
      <c r="M504" s="139"/>
      <c r="N504" s="139"/>
      <c r="O504" s="139"/>
      <c r="P504" s="137"/>
      <c r="Q504" s="137"/>
      <c r="R504" s="138"/>
      <c r="S504" s="137"/>
      <c r="T504" s="137"/>
      <c r="U504" s="137"/>
      <c r="V504" s="137"/>
      <c r="W504" s="139"/>
      <c r="X504" s="139"/>
      <c r="Y504" s="139"/>
      <c r="Z504" s="139"/>
      <c r="AA504" s="139"/>
      <c r="AB504" s="139"/>
      <c r="AC504" s="139"/>
      <c r="AD504" s="139"/>
      <c r="AE504" s="139"/>
      <c r="AF504" s="140"/>
      <c r="AG504" s="140"/>
      <c r="AH504" s="140"/>
      <c r="AI504" s="140"/>
      <c r="AJ504" s="140"/>
      <c r="AK504" s="140"/>
      <c r="AL504" s="140"/>
      <c r="AM504" s="140"/>
      <c r="AN504" s="140"/>
      <c r="AO504" s="140"/>
      <c r="AP504" s="140"/>
      <c r="AQ504" s="140"/>
      <c r="AR504" s="140"/>
      <c r="AS504" s="140"/>
      <c r="AT504" s="140"/>
      <c r="AU504" s="140"/>
      <c r="AV504" s="140"/>
      <c r="AW504" s="140"/>
      <c r="AX504" s="140"/>
      <c r="AY504" s="140"/>
      <c r="AZ504" s="140"/>
      <c r="BA504" s="140"/>
      <c r="BB504" s="140"/>
      <c r="BC504" s="140"/>
      <c r="BD504" s="140"/>
      <c r="BE504" s="140"/>
    </row>
    <row r="505" s="119" customFormat="1" ht="24" customHeight="1" outlineLevel="1" spans="1:57">
      <c r="A505" s="141"/>
      <c r="B505" s="14" t="s">
        <v>101</v>
      </c>
      <c r="C505" s="15"/>
      <c r="D505" s="142"/>
      <c r="E505" s="143"/>
      <c r="F505" s="143"/>
      <c r="G505" s="143"/>
      <c r="H505" s="143"/>
      <c r="I505" s="143"/>
      <c r="J505" s="143"/>
      <c r="K505" s="144"/>
      <c r="L505" s="178"/>
      <c r="M505" s="139"/>
      <c r="N505" s="139"/>
      <c r="O505" s="139"/>
      <c r="P505" s="137"/>
      <c r="Q505" s="137"/>
      <c r="R505" s="138"/>
      <c r="S505" s="137"/>
      <c r="T505" s="137"/>
      <c r="U505" s="137"/>
      <c r="V505" s="137"/>
      <c r="W505" s="139"/>
      <c r="X505" s="139"/>
      <c r="Y505" s="139"/>
      <c r="Z505" s="139"/>
      <c r="AA505" s="139"/>
      <c r="AB505" s="139"/>
      <c r="AC505" s="139"/>
      <c r="AD505" s="139"/>
      <c r="AE505" s="139"/>
      <c r="AF505" s="140"/>
      <c r="AG505" s="140"/>
      <c r="AH505" s="140"/>
      <c r="AI505" s="140"/>
      <c r="AJ505" s="140"/>
      <c r="AK505" s="140"/>
      <c r="AL505" s="140"/>
      <c r="AM505" s="140"/>
      <c r="AN505" s="140"/>
      <c r="AO505" s="140"/>
      <c r="AP505" s="140"/>
      <c r="AQ505" s="140"/>
      <c r="AR505" s="140"/>
      <c r="AS505" s="140"/>
      <c r="AT505" s="140"/>
      <c r="AU505" s="140"/>
      <c r="AV505" s="140"/>
      <c r="AW505" s="140"/>
      <c r="AX505" s="140"/>
      <c r="AY505" s="140"/>
      <c r="AZ505" s="140"/>
      <c r="BA505" s="140"/>
      <c r="BB505" s="140"/>
      <c r="BC505" s="140"/>
      <c r="BD505" s="140"/>
      <c r="BE505" s="140"/>
    </row>
    <row r="506" s="119" customFormat="1" ht="72" customHeight="1" outlineLevel="2" spans="1:57">
      <c r="A506" s="145">
        <f>1+N(A505)</f>
        <v>1</v>
      </c>
      <c r="B506" s="146" t="s">
        <v>282</v>
      </c>
      <c r="C506" s="147" t="s">
        <v>283</v>
      </c>
      <c r="D506" s="148" t="s">
        <v>63</v>
      </c>
      <c r="E506" s="149">
        <v>17.86</v>
      </c>
      <c r="F506" s="149">
        <f>S506*$S$1</f>
        <v>28.5</v>
      </c>
      <c r="G506" s="149">
        <f>Q506*(1+R506)*$Q$1</f>
        <v>5.5</v>
      </c>
      <c r="H506" s="149">
        <f>(T506+U506)*$T$1</f>
        <v>6.8</v>
      </c>
      <c r="I506" s="150">
        <f>(F506+G506+H506)*$I$3</f>
        <v>4.08</v>
      </c>
      <c r="J506" s="151">
        <f>ROUND(SUM(F506:I506),2)</f>
        <v>44.88</v>
      </c>
      <c r="K506" s="152">
        <f>ROUND(J506*E506,2)</f>
        <v>801.56</v>
      </c>
      <c r="L506" s="178"/>
      <c r="M506" s="139">
        <v>1</v>
      </c>
      <c r="N506" s="139">
        <v>728.69</v>
      </c>
      <c r="O506" s="139"/>
      <c r="P506" s="37">
        <f>Q506+Q506*R506+S506+T506+U506</f>
        <v>40.8</v>
      </c>
      <c r="Q506" s="71">
        <v>5.5</v>
      </c>
      <c r="R506" s="157">
        <v>0</v>
      </c>
      <c r="S506" s="71">
        <v>28.5</v>
      </c>
      <c r="T506" s="71">
        <v>6.5</v>
      </c>
      <c r="U506" s="71">
        <v>0.3</v>
      </c>
      <c r="V506" s="37">
        <f>P506*E506</f>
        <v>728.688</v>
      </c>
      <c r="W506" s="139"/>
      <c r="X506" s="139"/>
      <c r="Y506" s="139"/>
      <c r="Z506" s="139"/>
      <c r="AA506" s="139"/>
      <c r="AB506" s="139"/>
      <c r="AC506" s="139"/>
      <c r="AD506" s="139"/>
      <c r="AE506" s="139"/>
      <c r="AF506" s="140"/>
      <c r="AG506" s="140"/>
      <c r="AH506" s="140"/>
      <c r="AI506" s="140"/>
      <c r="AJ506" s="140"/>
      <c r="AK506" s="140"/>
      <c r="AL506" s="140"/>
      <c r="AM506" s="140"/>
      <c r="AN506" s="140"/>
      <c r="AO506" s="140"/>
      <c r="AP506" s="140"/>
      <c r="AQ506" s="140"/>
      <c r="AR506" s="140"/>
      <c r="AS506" s="140"/>
      <c r="AT506" s="140"/>
      <c r="AU506" s="140"/>
      <c r="AV506" s="140"/>
      <c r="AW506" s="140"/>
      <c r="AX506" s="140"/>
      <c r="AY506" s="140"/>
      <c r="AZ506" s="140"/>
      <c r="BA506" s="140"/>
      <c r="BB506" s="140"/>
      <c r="BC506" s="140"/>
      <c r="BD506" s="140"/>
      <c r="BE506" s="140"/>
    </row>
    <row r="507" s="119" customFormat="1" ht="24" customHeight="1" outlineLevel="1" spans="1:57">
      <c r="A507" s="141"/>
      <c r="B507" s="14" t="s">
        <v>112</v>
      </c>
      <c r="C507" s="15"/>
      <c r="D507" s="142"/>
      <c r="E507" s="143"/>
      <c r="F507" s="143"/>
      <c r="G507" s="143"/>
      <c r="H507" s="143"/>
      <c r="I507" s="143"/>
      <c r="J507" s="143"/>
      <c r="K507" s="144"/>
      <c r="L507" s="178"/>
      <c r="M507" s="139"/>
      <c r="N507" s="139"/>
      <c r="O507" s="139"/>
      <c r="P507" s="137"/>
      <c r="Q507" s="137"/>
      <c r="R507" s="138"/>
      <c r="S507" s="137"/>
      <c r="T507" s="137"/>
      <c r="U507" s="137"/>
      <c r="V507" s="137"/>
      <c r="W507" s="139"/>
      <c r="X507" s="139"/>
      <c r="Y507" s="139"/>
      <c r="Z507" s="139"/>
      <c r="AA507" s="139"/>
      <c r="AB507" s="139"/>
      <c r="AC507" s="139"/>
      <c r="AD507" s="139"/>
      <c r="AE507" s="139"/>
      <c r="AF507" s="140"/>
      <c r="AG507" s="140"/>
      <c r="AH507" s="140"/>
      <c r="AI507" s="140"/>
      <c r="AJ507" s="140"/>
      <c r="AK507" s="140"/>
      <c r="AL507" s="140"/>
      <c r="AM507" s="140"/>
      <c r="AN507" s="140"/>
      <c r="AO507" s="140"/>
      <c r="AP507" s="140"/>
      <c r="AQ507" s="140"/>
      <c r="AR507" s="140"/>
      <c r="AS507" s="140"/>
      <c r="AT507" s="140"/>
      <c r="AU507" s="140"/>
      <c r="AV507" s="140"/>
      <c r="AW507" s="140"/>
      <c r="AX507" s="140"/>
      <c r="AY507" s="140"/>
      <c r="AZ507" s="140"/>
      <c r="BA507" s="140"/>
      <c r="BB507" s="140"/>
      <c r="BC507" s="140"/>
      <c r="BD507" s="140"/>
      <c r="BE507" s="140"/>
    </row>
    <row r="508" s="119" customFormat="1" ht="24" customHeight="1" outlineLevel="1" spans="1:57">
      <c r="A508" s="132" t="s">
        <v>127</v>
      </c>
      <c r="B508" s="8" t="s">
        <v>284</v>
      </c>
      <c r="C508" s="180"/>
      <c r="D508" s="133"/>
      <c r="E508" s="134"/>
      <c r="F508" s="134"/>
      <c r="G508" s="134"/>
      <c r="H508" s="134"/>
      <c r="I508" s="134"/>
      <c r="J508" s="134"/>
      <c r="K508" s="11"/>
      <c r="L508" s="178"/>
      <c r="M508" s="139"/>
      <c r="N508" s="139"/>
      <c r="O508" s="139" t="str">
        <f>_xlfn.DISPIMG("ID_B536854564CA4B8197B26E4B6442191E",1)</f>
        <v>=DISPIMG("ID_B536854564CA4B8197B26E4B6442191E",1)</v>
      </c>
      <c r="P508" s="137"/>
      <c r="Q508" s="137"/>
      <c r="R508" s="138"/>
      <c r="S508" s="137"/>
      <c r="T508" s="137"/>
      <c r="U508" s="137"/>
      <c r="V508" s="137"/>
      <c r="W508" s="139"/>
      <c r="X508" s="139"/>
      <c r="Y508" s="139"/>
      <c r="Z508" s="139"/>
      <c r="AA508" s="139"/>
      <c r="AB508" s="139"/>
      <c r="AC508" s="139"/>
      <c r="AD508" s="139"/>
      <c r="AE508" s="139"/>
      <c r="AF508" s="140"/>
      <c r="AG508" s="140"/>
      <c r="AH508" s="140"/>
      <c r="AI508" s="140"/>
      <c r="AJ508" s="140"/>
      <c r="AK508" s="140"/>
      <c r="AL508" s="140"/>
      <c r="AM508" s="140"/>
      <c r="AN508" s="140"/>
      <c r="AO508" s="140"/>
      <c r="AP508" s="140"/>
      <c r="AQ508" s="140"/>
      <c r="AR508" s="140"/>
      <c r="AS508" s="140"/>
      <c r="AT508" s="140"/>
      <c r="AU508" s="140"/>
      <c r="AV508" s="140"/>
      <c r="AW508" s="140"/>
      <c r="AX508" s="140"/>
      <c r="AY508" s="140"/>
      <c r="AZ508" s="140"/>
      <c r="BA508" s="140"/>
      <c r="BB508" s="140"/>
      <c r="BC508" s="140"/>
      <c r="BD508" s="140"/>
      <c r="BE508" s="140"/>
    </row>
    <row r="509" s="119" customFormat="1" ht="24" customHeight="1" outlineLevel="1" spans="1:57">
      <c r="A509" s="141"/>
      <c r="B509" s="14" t="s">
        <v>60</v>
      </c>
      <c r="C509" s="15"/>
      <c r="D509" s="142"/>
      <c r="E509" s="143"/>
      <c r="F509" s="143"/>
      <c r="G509" s="143"/>
      <c r="H509" s="143"/>
      <c r="I509" s="143"/>
      <c r="J509" s="143"/>
      <c r="K509" s="144"/>
      <c r="L509" s="178"/>
      <c r="M509" s="139"/>
      <c r="N509" s="139"/>
      <c r="O509" s="139"/>
      <c r="P509" s="137"/>
      <c r="Q509" s="137"/>
      <c r="R509" s="138"/>
      <c r="S509" s="137"/>
      <c r="T509" s="137"/>
      <c r="U509" s="137"/>
      <c r="V509" s="137"/>
      <c r="W509" s="139"/>
      <c r="X509" s="139"/>
      <c r="Y509" s="139"/>
      <c r="Z509" s="139"/>
      <c r="AA509" s="139"/>
      <c r="AB509" s="139"/>
      <c r="AC509" s="139"/>
      <c r="AD509" s="139"/>
      <c r="AE509" s="139"/>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row>
    <row r="510" s="119" customFormat="1" ht="60" customHeight="1" outlineLevel="2" spans="1:57">
      <c r="A510" s="162">
        <f t="shared" ref="A510:A515" si="132">1+N(A509)</f>
        <v>1</v>
      </c>
      <c r="B510" s="14" t="s">
        <v>183</v>
      </c>
      <c r="C510" s="15" t="s">
        <v>184</v>
      </c>
      <c r="D510" s="142" t="s">
        <v>63</v>
      </c>
      <c r="E510" s="143">
        <v>25.33</v>
      </c>
      <c r="F510" s="143">
        <f>$F$210</f>
        <v>10.5</v>
      </c>
      <c r="G510" s="143">
        <f>$G$210</f>
        <v>72.72</v>
      </c>
      <c r="H510" s="143">
        <f>$H$210</f>
        <v>3.7</v>
      </c>
      <c r="I510" s="17">
        <f t="shared" ref="I510:I515" si="133">(F510+G510+H510)*$I$3</f>
        <v>8.692</v>
      </c>
      <c r="J510" s="18">
        <f t="shared" ref="J510:J515" si="134">ROUND(SUM(F510:I510),2)</f>
        <v>95.61</v>
      </c>
      <c r="K510" s="19">
        <f t="shared" ref="K510:K515" si="135">ROUND(J510*E510,2)</f>
        <v>2421.8</v>
      </c>
      <c r="L510" s="178"/>
      <c r="M510" s="139">
        <v>1</v>
      </c>
      <c r="N510" s="139">
        <v>2201.68</v>
      </c>
      <c r="O510" s="139"/>
      <c r="P510" s="37">
        <f t="shared" ref="P510:P515" si="136">Q510+Q510*R510+S510+T510+U510</f>
        <v>86.92</v>
      </c>
      <c r="Q510" s="99">
        <f>$Q$210</f>
        <v>72</v>
      </c>
      <c r="R510" s="163">
        <f>$R$210</f>
        <v>0.01</v>
      </c>
      <c r="S510" s="99">
        <f>$S$210</f>
        <v>10.5</v>
      </c>
      <c r="T510" s="99">
        <f>$T$210</f>
        <v>3.5</v>
      </c>
      <c r="U510" s="99">
        <f>$U$210</f>
        <v>0.2</v>
      </c>
      <c r="V510" s="37">
        <f t="shared" ref="V510:V515" si="137">P510*E510</f>
        <v>2201.6836</v>
      </c>
      <c r="W510" s="139"/>
      <c r="X510" s="139"/>
      <c r="Y510" s="139"/>
      <c r="Z510" s="139"/>
      <c r="AA510" s="139"/>
      <c r="AB510" s="139"/>
      <c r="AC510" s="139"/>
      <c r="AD510" s="139"/>
      <c r="AE510" s="139"/>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row>
    <row r="511" s="119" customFormat="1" ht="60" customHeight="1" outlineLevel="2" spans="1:57">
      <c r="A511" s="162">
        <f t="shared" si="132"/>
        <v>2</v>
      </c>
      <c r="B511" s="14" t="s">
        <v>185</v>
      </c>
      <c r="C511" s="15" t="s">
        <v>186</v>
      </c>
      <c r="D511" s="142" t="s">
        <v>63</v>
      </c>
      <c r="E511" s="143">
        <v>25.33</v>
      </c>
      <c r="F511" s="143">
        <f>$F$211</f>
        <v>22</v>
      </c>
      <c r="G511" s="143">
        <f>$G$211</f>
        <v>0</v>
      </c>
      <c r="H511" s="143">
        <f>$H$211</f>
        <v>8.7</v>
      </c>
      <c r="I511" s="17">
        <f t="shared" si="133"/>
        <v>3.07</v>
      </c>
      <c r="J511" s="18">
        <f t="shared" si="134"/>
        <v>33.77</v>
      </c>
      <c r="K511" s="19">
        <f t="shared" si="135"/>
        <v>855.39</v>
      </c>
      <c r="L511" s="178"/>
      <c r="M511" s="139">
        <v>1</v>
      </c>
      <c r="N511" s="139">
        <v>777.63</v>
      </c>
      <c r="O511" s="139"/>
      <c r="P511" s="37">
        <f t="shared" si="136"/>
        <v>30.7</v>
      </c>
      <c r="Q511" s="99">
        <f>$Q$211</f>
        <v>0</v>
      </c>
      <c r="R511" s="163">
        <f>$R$211</f>
        <v>0</v>
      </c>
      <c r="S511" s="99">
        <f>$S$211</f>
        <v>22</v>
      </c>
      <c r="T511" s="99">
        <f>$T$211</f>
        <v>8.5</v>
      </c>
      <c r="U511" s="99">
        <f>$U$211</f>
        <v>0.2</v>
      </c>
      <c r="V511" s="37">
        <f t="shared" si="137"/>
        <v>777.631</v>
      </c>
      <c r="W511" s="139"/>
      <c r="X511" s="139"/>
      <c r="Y511" s="139"/>
      <c r="Z511" s="139"/>
      <c r="AA511" s="139"/>
      <c r="AB511" s="139"/>
      <c r="AC511" s="139"/>
      <c r="AD511" s="139"/>
      <c r="AE511" s="139"/>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row>
    <row r="512" s="119" customFormat="1" ht="48" customHeight="1" outlineLevel="2" spans="1:57">
      <c r="A512" s="162">
        <f t="shared" si="132"/>
        <v>3</v>
      </c>
      <c r="B512" s="14" t="s">
        <v>187</v>
      </c>
      <c r="C512" s="15" t="s">
        <v>188</v>
      </c>
      <c r="D512" s="142" t="s">
        <v>63</v>
      </c>
      <c r="E512" s="143">
        <v>25.33</v>
      </c>
      <c r="F512" s="143">
        <f>$F$212</f>
        <v>30</v>
      </c>
      <c r="G512" s="143">
        <f>$G$212</f>
        <v>18.685</v>
      </c>
      <c r="H512" s="143">
        <f>$H$212</f>
        <v>13.5</v>
      </c>
      <c r="I512" s="17">
        <f t="shared" si="133"/>
        <v>6.2185</v>
      </c>
      <c r="J512" s="18">
        <f t="shared" si="134"/>
        <v>68.4</v>
      </c>
      <c r="K512" s="19">
        <f t="shared" si="135"/>
        <v>1732.57</v>
      </c>
      <c r="L512" s="178"/>
      <c r="M512" s="139">
        <v>1</v>
      </c>
      <c r="N512" s="139">
        <v>1575.27</v>
      </c>
      <c r="O512" s="139"/>
      <c r="P512" s="37">
        <f t="shared" si="136"/>
        <v>62.185</v>
      </c>
      <c r="Q512" s="99">
        <f>$Q$212</f>
        <v>18.5</v>
      </c>
      <c r="R512" s="163">
        <f>$R$212</f>
        <v>0.01</v>
      </c>
      <c r="S512" s="99">
        <f>$S$212</f>
        <v>30</v>
      </c>
      <c r="T512" s="99">
        <f>$T$212</f>
        <v>12</v>
      </c>
      <c r="U512" s="99">
        <f>$U$212</f>
        <v>1.5</v>
      </c>
      <c r="V512" s="37">
        <f t="shared" si="137"/>
        <v>1575.14605</v>
      </c>
      <c r="W512" s="139"/>
      <c r="X512" s="139"/>
      <c r="Y512" s="139"/>
      <c r="Z512" s="139"/>
      <c r="AA512" s="139"/>
      <c r="AB512" s="139"/>
      <c r="AC512" s="139"/>
      <c r="AD512" s="139"/>
      <c r="AE512" s="139"/>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row>
    <row r="513" s="119" customFormat="1" ht="48" customHeight="1" outlineLevel="2" spans="1:57">
      <c r="A513" s="162">
        <f t="shared" si="132"/>
        <v>4</v>
      </c>
      <c r="B513" s="164" t="s">
        <v>189</v>
      </c>
      <c r="C513" s="60" t="s">
        <v>190</v>
      </c>
      <c r="D513" s="142" t="s">
        <v>63</v>
      </c>
      <c r="E513" s="143">
        <v>25.33</v>
      </c>
      <c r="F513" s="143">
        <f>$F$213</f>
        <v>42</v>
      </c>
      <c r="G513" s="143">
        <f>$G$213</f>
        <v>30.3</v>
      </c>
      <c r="H513" s="143">
        <f>$H$213</f>
        <v>13.5</v>
      </c>
      <c r="I513" s="17">
        <f t="shared" si="133"/>
        <v>8.58</v>
      </c>
      <c r="J513" s="18">
        <f t="shared" si="134"/>
        <v>94.38</v>
      </c>
      <c r="K513" s="19">
        <f t="shared" si="135"/>
        <v>2390.65</v>
      </c>
      <c r="L513" s="178"/>
      <c r="M513" s="139">
        <v>1</v>
      </c>
      <c r="N513" s="139">
        <v>2173.31</v>
      </c>
      <c r="O513" s="139"/>
      <c r="P513" s="37">
        <f t="shared" si="136"/>
        <v>85.8</v>
      </c>
      <c r="Q513" s="99">
        <f>$Q$213</f>
        <v>30</v>
      </c>
      <c r="R513" s="163">
        <f>$R$213</f>
        <v>0.01</v>
      </c>
      <c r="S513" s="99">
        <f>$S$213</f>
        <v>42</v>
      </c>
      <c r="T513" s="99">
        <f>$T$213</f>
        <v>12</v>
      </c>
      <c r="U513" s="99">
        <f>$U$213</f>
        <v>1.5</v>
      </c>
      <c r="V513" s="37">
        <f t="shared" si="137"/>
        <v>2173.314</v>
      </c>
      <c r="W513" s="139"/>
      <c r="X513" s="139"/>
      <c r="Y513" s="139"/>
      <c r="Z513" s="139"/>
      <c r="AA513" s="139"/>
      <c r="AB513" s="139"/>
      <c r="AC513" s="139"/>
      <c r="AD513" s="139"/>
      <c r="AE513" s="139"/>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row>
    <row r="514" s="119" customFormat="1" ht="84" customHeight="1" outlineLevel="2" spans="1:57">
      <c r="A514" s="162">
        <f t="shared" si="132"/>
        <v>5</v>
      </c>
      <c r="B514" s="14" t="s">
        <v>61</v>
      </c>
      <c r="C514" s="15" t="s">
        <v>62</v>
      </c>
      <c r="D514" s="142" t="s">
        <v>63</v>
      </c>
      <c r="E514" s="143">
        <v>25.33</v>
      </c>
      <c r="F514" s="143">
        <f>$F$7</f>
        <v>130</v>
      </c>
      <c r="G514" s="143">
        <f>$G$7</f>
        <v>628.3</v>
      </c>
      <c r="H514" s="17">
        <f>$H$7</f>
        <v>47.7</v>
      </c>
      <c r="I514" s="17">
        <f t="shared" si="133"/>
        <v>80.6</v>
      </c>
      <c r="J514" s="18">
        <f t="shared" si="134"/>
        <v>886.6</v>
      </c>
      <c r="K514" s="19">
        <f t="shared" si="135"/>
        <v>22457.58</v>
      </c>
      <c r="L514" s="178"/>
      <c r="M514" s="139">
        <v>1</v>
      </c>
      <c r="N514" s="139">
        <v>20415.98</v>
      </c>
      <c r="O514" s="139"/>
      <c r="P514" s="37">
        <f t="shared" si="136"/>
        <v>806</v>
      </c>
      <c r="Q514" s="99">
        <f>$Q$7</f>
        <v>610</v>
      </c>
      <c r="R514" s="163">
        <f>$R$7</f>
        <v>0.03</v>
      </c>
      <c r="S514" s="99">
        <f>$S$7</f>
        <v>130</v>
      </c>
      <c r="T514" s="99">
        <f>$T$7</f>
        <v>46.2</v>
      </c>
      <c r="U514" s="99">
        <f>$U$7</f>
        <v>1.5</v>
      </c>
      <c r="V514" s="37">
        <f t="shared" si="137"/>
        <v>20415.98</v>
      </c>
      <c r="W514" s="139"/>
      <c r="X514" s="139"/>
      <c r="Y514" s="139"/>
      <c r="Z514" s="139"/>
      <c r="AA514" s="139"/>
      <c r="AB514" s="139"/>
      <c r="AC514" s="139"/>
      <c r="AD514" s="139"/>
      <c r="AE514" s="139"/>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row>
    <row r="515" s="119" customFormat="1" ht="84" customHeight="1" outlineLevel="2" spans="1:57">
      <c r="A515" s="162">
        <f t="shared" si="132"/>
        <v>6</v>
      </c>
      <c r="B515" s="14" t="s">
        <v>71</v>
      </c>
      <c r="C515" s="15" t="s">
        <v>72</v>
      </c>
      <c r="D515" s="142" t="s">
        <v>63</v>
      </c>
      <c r="E515" s="143">
        <v>25.33</v>
      </c>
      <c r="F515" s="143">
        <f>$F$11</f>
        <v>40</v>
      </c>
      <c r="G515" s="143">
        <f>$G$11</f>
        <v>15</v>
      </c>
      <c r="H515" s="143">
        <f>$H$11</f>
        <v>0.8</v>
      </c>
      <c r="I515" s="17">
        <f t="shared" si="133"/>
        <v>5.58</v>
      </c>
      <c r="J515" s="18">
        <f t="shared" si="134"/>
        <v>61.38</v>
      </c>
      <c r="K515" s="19">
        <f t="shared" si="135"/>
        <v>1554.76</v>
      </c>
      <c r="L515" s="178"/>
      <c r="M515" s="139">
        <v>1</v>
      </c>
      <c r="N515" s="139">
        <v>1413.41</v>
      </c>
      <c r="O515" s="139"/>
      <c r="P515" s="37">
        <f t="shared" si="136"/>
        <v>55.8</v>
      </c>
      <c r="Q515" s="99">
        <f>$Q$11</f>
        <v>15</v>
      </c>
      <c r="R515" s="163">
        <f>$R$11</f>
        <v>0</v>
      </c>
      <c r="S515" s="99">
        <f>$S$11</f>
        <v>40</v>
      </c>
      <c r="T515" s="99">
        <f>$T$11</f>
        <v>0.5</v>
      </c>
      <c r="U515" s="99">
        <f>$U$11</f>
        <v>0.3</v>
      </c>
      <c r="V515" s="37">
        <f t="shared" si="137"/>
        <v>1413.414</v>
      </c>
      <c r="W515" s="139"/>
      <c r="X515" s="139"/>
      <c r="Y515" s="139"/>
      <c r="Z515" s="139"/>
      <c r="AA515" s="139"/>
      <c r="AB515" s="139"/>
      <c r="AC515" s="139"/>
      <c r="AD515" s="139"/>
      <c r="AE515" s="139"/>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row>
    <row r="516" s="119" customFormat="1" ht="24" customHeight="1" outlineLevel="1" spans="1:57">
      <c r="A516" s="141"/>
      <c r="B516" s="14" t="s">
        <v>73</v>
      </c>
      <c r="C516" s="15"/>
      <c r="D516" s="142"/>
      <c r="E516" s="143"/>
      <c r="F516" s="143"/>
      <c r="G516" s="143"/>
      <c r="H516" s="143"/>
      <c r="I516" s="143"/>
      <c r="J516" s="143"/>
      <c r="K516" s="144"/>
      <c r="L516" s="178"/>
      <c r="M516" s="139"/>
      <c r="N516" s="139"/>
      <c r="O516" s="139"/>
      <c r="P516" s="137"/>
      <c r="Q516" s="137"/>
      <c r="R516" s="138"/>
      <c r="S516" s="137"/>
      <c r="T516" s="137"/>
      <c r="U516" s="137"/>
      <c r="V516" s="137"/>
      <c r="W516" s="139"/>
      <c r="X516" s="139"/>
      <c r="Y516" s="139"/>
      <c r="Z516" s="139"/>
      <c r="AA516" s="139"/>
      <c r="AB516" s="139"/>
      <c r="AC516" s="139"/>
      <c r="AD516" s="139"/>
      <c r="AE516" s="139"/>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row>
    <row r="517" s="119" customFormat="1" ht="96" customHeight="1" outlineLevel="2" spans="1:57">
      <c r="A517" s="145">
        <f t="shared" ref="A517:A524" si="138">1+N(A516)</f>
        <v>1</v>
      </c>
      <c r="B517" s="146" t="s">
        <v>285</v>
      </c>
      <c r="C517" s="147" t="s">
        <v>286</v>
      </c>
      <c r="D517" s="148" t="s">
        <v>63</v>
      </c>
      <c r="E517" s="149">
        <v>3.452</v>
      </c>
      <c r="F517" s="149">
        <f>S517*$S$1</f>
        <v>140</v>
      </c>
      <c r="G517" s="149">
        <f>Q517*(1+R517)*$Q$1</f>
        <v>640.5</v>
      </c>
      <c r="H517" s="149">
        <f>(T517+U517)*$T$1</f>
        <v>113.55</v>
      </c>
      <c r="I517" s="150">
        <f t="shared" ref="I517:I524" si="139">(F517+G517+H517)*$I$3</f>
        <v>89.405</v>
      </c>
      <c r="J517" s="151">
        <f t="shared" ref="J517:J524" si="140">ROUND(SUM(F517:I517),2)</f>
        <v>983.46</v>
      </c>
      <c r="K517" s="152">
        <f t="shared" ref="K517:K524" si="141">ROUND(J517*E517,2)</f>
        <v>3394.9</v>
      </c>
      <c r="L517" s="178"/>
      <c r="M517" s="139">
        <v>1</v>
      </c>
      <c r="N517" s="139">
        <v>3086.26</v>
      </c>
      <c r="O517" s="139"/>
      <c r="P517" s="37">
        <f t="shared" ref="P517:P524" si="142">Q517+Q517*R517+S517+T517+U517</f>
        <v>894.05</v>
      </c>
      <c r="Q517" s="71">
        <v>610</v>
      </c>
      <c r="R517" s="157">
        <v>0.05</v>
      </c>
      <c r="S517" s="71">
        <v>140</v>
      </c>
      <c r="T517" s="71">
        <v>111.75</v>
      </c>
      <c r="U517" s="71">
        <v>1.8</v>
      </c>
      <c r="V517" s="37">
        <f t="shared" ref="V517:V524" si="143">P517*E517</f>
        <v>3086.2606</v>
      </c>
      <c r="W517" s="139"/>
      <c r="X517" s="139"/>
      <c r="Y517" s="139"/>
      <c r="Z517" s="139"/>
      <c r="AA517" s="139"/>
      <c r="AB517" s="139"/>
      <c r="AC517" s="139"/>
      <c r="AD517" s="139"/>
      <c r="AE517" s="139"/>
      <c r="AF517" s="140"/>
      <c r="AG517" s="140"/>
      <c r="AH517" s="140"/>
      <c r="AI517" s="140"/>
      <c r="AJ517" s="140"/>
      <c r="AK517" s="140"/>
      <c r="AL517" s="140"/>
      <c r="AM517" s="140"/>
      <c r="AN517" s="140"/>
      <c r="AO517" s="140"/>
      <c r="AP517" s="140"/>
      <c r="AQ517" s="140"/>
      <c r="AR517" s="140"/>
      <c r="AS517" s="140"/>
      <c r="AT517" s="140"/>
      <c r="AU517" s="140"/>
      <c r="AV517" s="140"/>
      <c r="AW517" s="140"/>
      <c r="AX517" s="140"/>
      <c r="AY517" s="140"/>
      <c r="AZ517" s="140"/>
      <c r="BA517" s="140"/>
      <c r="BB517" s="140"/>
      <c r="BC517" s="140"/>
      <c r="BD517" s="140"/>
      <c r="BE517" s="140"/>
    </row>
    <row r="518" s="119" customFormat="1" ht="60" customHeight="1" outlineLevel="2" spans="1:57">
      <c r="A518" s="145">
        <f t="shared" si="138"/>
        <v>2</v>
      </c>
      <c r="B518" s="146" t="s">
        <v>287</v>
      </c>
      <c r="C518" s="147" t="s">
        <v>288</v>
      </c>
      <c r="D518" s="148" t="s">
        <v>63</v>
      </c>
      <c r="E518" s="149">
        <v>14.806</v>
      </c>
      <c r="F518" s="149">
        <f>S518*$S$1</f>
        <v>55</v>
      </c>
      <c r="G518" s="149">
        <f>Q518*(1+R518)*$Q$1</f>
        <v>597.4</v>
      </c>
      <c r="H518" s="149">
        <f>(T518+U518)*$T$1</f>
        <v>16.2</v>
      </c>
      <c r="I518" s="150">
        <f t="shared" si="139"/>
        <v>66.86</v>
      </c>
      <c r="J518" s="151">
        <f t="shared" si="140"/>
        <v>735.46</v>
      </c>
      <c r="K518" s="152">
        <f t="shared" si="141"/>
        <v>10889.22</v>
      </c>
      <c r="L518" s="178"/>
      <c r="M518" s="139">
        <v>1</v>
      </c>
      <c r="N518" s="139">
        <v>9899.29</v>
      </c>
      <c r="O518" s="139"/>
      <c r="P518" s="37">
        <f t="shared" si="142"/>
        <v>668.6</v>
      </c>
      <c r="Q518" s="71">
        <v>580</v>
      </c>
      <c r="R518" s="157">
        <v>0.03</v>
      </c>
      <c r="S518" s="71">
        <v>55</v>
      </c>
      <c r="T518" s="71">
        <v>15</v>
      </c>
      <c r="U518" s="71">
        <v>1.2</v>
      </c>
      <c r="V518" s="37">
        <f t="shared" si="143"/>
        <v>9899.2916</v>
      </c>
      <c r="W518" s="139"/>
      <c r="X518" s="139"/>
      <c r="Y518" s="139"/>
      <c r="Z518" s="139"/>
      <c r="AA518" s="139"/>
      <c r="AB518" s="139"/>
      <c r="AC518" s="139"/>
      <c r="AD518" s="139"/>
      <c r="AE518" s="139"/>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row>
    <row r="519" s="119" customFormat="1" ht="36" customHeight="1" outlineLevel="2" spans="1:57">
      <c r="A519" s="145">
        <f t="shared" si="138"/>
        <v>3</v>
      </c>
      <c r="B519" s="146" t="s">
        <v>289</v>
      </c>
      <c r="C519" s="147" t="s">
        <v>290</v>
      </c>
      <c r="D519" s="148" t="s">
        <v>63</v>
      </c>
      <c r="E519" s="149">
        <v>71.735</v>
      </c>
      <c r="F519" s="149">
        <f>S519*$S$1</f>
        <v>76.5</v>
      </c>
      <c r="G519" s="149">
        <f>Q519*(1+R519)*$Q$1</f>
        <v>457.7</v>
      </c>
      <c r="H519" s="149">
        <f>(T519+U519)*$T$1</f>
        <v>57</v>
      </c>
      <c r="I519" s="150">
        <f t="shared" si="139"/>
        <v>59.12</v>
      </c>
      <c r="J519" s="151">
        <f t="shared" si="140"/>
        <v>650.32</v>
      </c>
      <c r="K519" s="152">
        <f t="shared" si="141"/>
        <v>46650.71</v>
      </c>
      <c r="L519" s="178"/>
      <c r="M519" s="139">
        <v>1</v>
      </c>
      <c r="N519" s="139">
        <v>42409.73</v>
      </c>
      <c r="O519" s="139"/>
      <c r="P519" s="37">
        <f t="shared" si="142"/>
        <v>591.2</v>
      </c>
      <c r="Q519" s="71">
        <v>398</v>
      </c>
      <c r="R519" s="157">
        <v>0.15</v>
      </c>
      <c r="S519" s="71">
        <v>76.5</v>
      </c>
      <c r="T519" s="71">
        <v>56.5</v>
      </c>
      <c r="U519" s="71">
        <v>0.5</v>
      </c>
      <c r="V519" s="37">
        <f t="shared" si="143"/>
        <v>42409.732</v>
      </c>
      <c r="W519" s="139"/>
      <c r="X519" s="139"/>
      <c r="Y519" s="139"/>
      <c r="Z519" s="139"/>
      <c r="AA519" s="139"/>
      <c r="AB519" s="139"/>
      <c r="AC519" s="139"/>
      <c r="AD519" s="139"/>
      <c r="AE519" s="139"/>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row>
    <row r="520" s="119" customFormat="1" ht="60" customHeight="1" outlineLevel="2" spans="1:57">
      <c r="A520" s="145">
        <f t="shared" si="138"/>
        <v>4</v>
      </c>
      <c r="B520" s="146" t="s">
        <v>191</v>
      </c>
      <c r="C520" s="147" t="s">
        <v>291</v>
      </c>
      <c r="D520" s="148" t="s">
        <v>63</v>
      </c>
      <c r="E520" s="149">
        <v>13.733</v>
      </c>
      <c r="F520" s="149">
        <f>S520*$S$1</f>
        <v>89</v>
      </c>
      <c r="G520" s="149">
        <f>Q520*(1+R520)*$Q$1</f>
        <v>55</v>
      </c>
      <c r="H520" s="149">
        <f>(T520+U520)*$T$1</f>
        <v>45.5</v>
      </c>
      <c r="I520" s="150">
        <f t="shared" si="139"/>
        <v>18.95</v>
      </c>
      <c r="J520" s="151">
        <f t="shared" si="140"/>
        <v>208.45</v>
      </c>
      <c r="K520" s="152">
        <f t="shared" si="141"/>
        <v>2862.64</v>
      </c>
      <c r="L520" s="178"/>
      <c r="M520" s="139">
        <v>1</v>
      </c>
      <c r="N520" s="139">
        <v>2602.4</v>
      </c>
      <c r="O520" s="139"/>
      <c r="P520" s="37">
        <f t="shared" si="142"/>
        <v>189.5</v>
      </c>
      <c r="Q520" s="71">
        <v>55</v>
      </c>
      <c r="R520" s="157">
        <v>0</v>
      </c>
      <c r="S520" s="71">
        <v>89</v>
      </c>
      <c r="T520" s="71">
        <v>45</v>
      </c>
      <c r="U520" s="71">
        <v>0.5</v>
      </c>
      <c r="V520" s="37">
        <f t="shared" si="143"/>
        <v>2602.4035</v>
      </c>
      <c r="W520" s="139"/>
      <c r="X520" s="139"/>
      <c r="Y520" s="139"/>
      <c r="Z520" s="139"/>
      <c r="AA520" s="139"/>
      <c r="AB520" s="139"/>
      <c r="AC520" s="139"/>
      <c r="AD520" s="139"/>
      <c r="AE520" s="139"/>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row>
    <row r="521" s="119" customFormat="1" ht="24" customHeight="1" outlineLevel="2" spans="1:57">
      <c r="A521" s="162">
        <f t="shared" si="138"/>
        <v>5</v>
      </c>
      <c r="B521" s="14" t="s">
        <v>193</v>
      </c>
      <c r="C521" s="15" t="s">
        <v>194</v>
      </c>
      <c r="D521" s="142" t="s">
        <v>63</v>
      </c>
      <c r="E521" s="143">
        <v>119.8801</v>
      </c>
      <c r="F521" s="143">
        <f>$F$219</f>
        <v>18</v>
      </c>
      <c r="G521" s="143">
        <f>$G$219</f>
        <v>22.725</v>
      </c>
      <c r="H521" s="143">
        <f>$H$219</f>
        <v>0.3</v>
      </c>
      <c r="I521" s="17">
        <f t="shared" si="139"/>
        <v>4.1025</v>
      </c>
      <c r="J521" s="18">
        <f t="shared" si="140"/>
        <v>45.13</v>
      </c>
      <c r="K521" s="19">
        <f t="shared" si="141"/>
        <v>5410.19</v>
      </c>
      <c r="L521" s="178"/>
      <c r="M521" s="139">
        <v>1</v>
      </c>
      <c r="N521" s="139">
        <v>4918.68</v>
      </c>
      <c r="O521" s="139"/>
      <c r="P521" s="37">
        <f t="shared" si="142"/>
        <v>41.025</v>
      </c>
      <c r="Q521" s="99">
        <f>$Q$219</f>
        <v>22.5</v>
      </c>
      <c r="R521" s="163">
        <f>$R$219</f>
        <v>0.01</v>
      </c>
      <c r="S521" s="99">
        <f>$S$219</f>
        <v>18</v>
      </c>
      <c r="T521" s="99">
        <f>$T$219</f>
        <v>0</v>
      </c>
      <c r="U521" s="99">
        <f>$U$219</f>
        <v>0.3</v>
      </c>
      <c r="V521" s="37">
        <f t="shared" si="143"/>
        <v>4918.0811025</v>
      </c>
      <c r="W521" s="139"/>
      <c r="X521" s="139"/>
      <c r="Y521" s="139"/>
      <c r="Z521" s="139"/>
      <c r="AA521" s="139"/>
      <c r="AB521" s="139"/>
      <c r="AC521" s="139"/>
      <c r="AD521" s="139"/>
      <c r="AE521" s="139"/>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row>
    <row r="522" s="119" customFormat="1" ht="48" customHeight="1" outlineLevel="2" spans="1:57">
      <c r="A522" s="162">
        <f t="shared" si="138"/>
        <v>6</v>
      </c>
      <c r="B522" s="14" t="s">
        <v>82</v>
      </c>
      <c r="C522" s="15" t="s">
        <v>83</v>
      </c>
      <c r="D522" s="142" t="s">
        <v>63</v>
      </c>
      <c r="E522" s="143">
        <f>0.222*3.4*2</f>
        <v>1.5096</v>
      </c>
      <c r="F522" s="143">
        <f>$F$17</f>
        <v>110</v>
      </c>
      <c r="G522" s="143">
        <f>$G$17</f>
        <v>454.5</v>
      </c>
      <c r="H522" s="143">
        <f>$H$17</f>
        <v>55.2</v>
      </c>
      <c r="I522" s="17">
        <f t="shared" si="139"/>
        <v>61.97</v>
      </c>
      <c r="J522" s="18">
        <f t="shared" si="140"/>
        <v>681.67</v>
      </c>
      <c r="K522" s="19">
        <f t="shared" si="141"/>
        <v>1029.05</v>
      </c>
      <c r="L522" s="178"/>
      <c r="M522" s="139">
        <v>1</v>
      </c>
      <c r="N522" s="139">
        <v>935.5</v>
      </c>
      <c r="O522" s="139"/>
      <c r="P522" s="37">
        <f t="shared" si="142"/>
        <v>619.7</v>
      </c>
      <c r="Q522" s="99">
        <f>$Q$17</f>
        <v>450</v>
      </c>
      <c r="R522" s="163">
        <f>$R$17</f>
        <v>0.01</v>
      </c>
      <c r="S522" s="99">
        <f>$S$17</f>
        <v>110</v>
      </c>
      <c r="T522" s="99">
        <f>$T$17</f>
        <v>54</v>
      </c>
      <c r="U522" s="99">
        <f>$U$17</f>
        <v>1.2</v>
      </c>
      <c r="V522" s="37">
        <f t="shared" si="143"/>
        <v>935.49912</v>
      </c>
      <c r="W522" s="139"/>
      <c r="X522" s="139"/>
      <c r="Y522" s="139"/>
      <c r="Z522" s="139"/>
      <c r="AA522" s="139"/>
      <c r="AB522" s="139"/>
      <c r="AC522" s="139"/>
      <c r="AD522" s="139"/>
      <c r="AE522" s="139"/>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row>
    <row r="523" s="119" customFormat="1" ht="48" customHeight="1" outlineLevel="2" spans="1:57">
      <c r="A523" s="162">
        <f t="shared" si="138"/>
        <v>7</v>
      </c>
      <c r="B523" s="14" t="s">
        <v>91</v>
      </c>
      <c r="C523" s="15" t="s">
        <v>92</v>
      </c>
      <c r="D523" s="142" t="s">
        <v>70</v>
      </c>
      <c r="E523" s="143">
        <v>26.741</v>
      </c>
      <c r="F523" s="143">
        <f>$F$22</f>
        <v>12</v>
      </c>
      <c r="G523" s="143">
        <f>$G$22</f>
        <v>25.75</v>
      </c>
      <c r="H523" s="143">
        <f>$H$22</f>
        <v>3.8</v>
      </c>
      <c r="I523" s="17">
        <f t="shared" si="139"/>
        <v>4.155</v>
      </c>
      <c r="J523" s="18">
        <f t="shared" si="140"/>
        <v>45.71</v>
      </c>
      <c r="K523" s="19">
        <f t="shared" si="141"/>
        <v>1222.33</v>
      </c>
      <c r="L523" s="178"/>
      <c r="M523" s="139">
        <v>1</v>
      </c>
      <c r="N523" s="139">
        <v>1111.09</v>
      </c>
      <c r="O523" s="139"/>
      <c r="P523" s="37">
        <f t="shared" si="142"/>
        <v>41.55</v>
      </c>
      <c r="Q523" s="99">
        <f>$Q$22</f>
        <v>25</v>
      </c>
      <c r="R523" s="163">
        <f>$R$22</f>
        <v>0.03</v>
      </c>
      <c r="S523" s="99">
        <f>$S$22</f>
        <v>12</v>
      </c>
      <c r="T523" s="99">
        <f>$T$22</f>
        <v>3.5</v>
      </c>
      <c r="U523" s="99">
        <f>$U$22</f>
        <v>0.3</v>
      </c>
      <c r="V523" s="37">
        <f t="shared" si="143"/>
        <v>1111.08855</v>
      </c>
      <c r="W523" s="139"/>
      <c r="X523" s="139"/>
      <c r="Y523" s="139"/>
      <c r="Z523" s="139"/>
      <c r="AA523" s="139"/>
      <c r="AB523" s="139"/>
      <c r="AC523" s="139"/>
      <c r="AD523" s="139"/>
      <c r="AE523" s="139"/>
      <c r="AF523" s="140"/>
      <c r="AG523" s="140"/>
      <c r="AH523" s="140"/>
      <c r="AI523" s="140"/>
      <c r="AJ523" s="140"/>
      <c r="AK523" s="140"/>
      <c r="AL523" s="140"/>
      <c r="AM523" s="140"/>
      <c r="AN523" s="140"/>
      <c r="AO523" s="140"/>
      <c r="AP523" s="140"/>
      <c r="AQ523" s="140"/>
      <c r="AR523" s="140"/>
      <c r="AS523" s="140"/>
      <c r="AT523" s="140"/>
      <c r="AU523" s="140"/>
      <c r="AV523" s="140"/>
      <c r="AW523" s="140"/>
      <c r="AX523" s="140"/>
      <c r="AY523" s="140"/>
      <c r="AZ523" s="140"/>
      <c r="BA523" s="140"/>
      <c r="BB523" s="140"/>
      <c r="BC523" s="140"/>
      <c r="BD523" s="140"/>
      <c r="BE523" s="140"/>
    </row>
    <row r="524" s="119" customFormat="1" ht="36" customHeight="1" outlineLevel="2" spans="1:57">
      <c r="A524" s="162">
        <f t="shared" si="138"/>
        <v>8</v>
      </c>
      <c r="B524" s="14" t="s">
        <v>239</v>
      </c>
      <c r="C524" s="15" t="s">
        <v>240</v>
      </c>
      <c r="D524" s="165" t="s">
        <v>63</v>
      </c>
      <c r="E524" s="143">
        <f>6.25*2*0.095</f>
        <v>1.1875</v>
      </c>
      <c r="F524" s="143">
        <f>$F$356</f>
        <v>110</v>
      </c>
      <c r="G524" s="143">
        <f>$G$356</f>
        <v>454.5</v>
      </c>
      <c r="H524" s="143">
        <f>$H$356</f>
        <v>55.2</v>
      </c>
      <c r="I524" s="17">
        <f t="shared" si="139"/>
        <v>61.97</v>
      </c>
      <c r="J524" s="18">
        <f t="shared" si="140"/>
        <v>681.67</v>
      </c>
      <c r="K524" s="19">
        <f t="shared" si="141"/>
        <v>809.48</v>
      </c>
      <c r="L524" s="178"/>
      <c r="M524" s="139">
        <v>1</v>
      </c>
      <c r="N524" s="139">
        <v>735.89</v>
      </c>
      <c r="O524" s="139"/>
      <c r="P524" s="37">
        <f t="shared" si="142"/>
        <v>619.7</v>
      </c>
      <c r="Q524" s="99">
        <f>$Q$356</f>
        <v>450</v>
      </c>
      <c r="R524" s="163">
        <f>$R$356</f>
        <v>0.01</v>
      </c>
      <c r="S524" s="99">
        <f>$S$356</f>
        <v>110</v>
      </c>
      <c r="T524" s="99">
        <f>$T$356</f>
        <v>54</v>
      </c>
      <c r="U524" s="99">
        <f>$U$356</f>
        <v>1.2</v>
      </c>
      <c r="V524" s="37">
        <f t="shared" si="143"/>
        <v>735.89375</v>
      </c>
      <c r="W524" s="139"/>
      <c r="X524" s="139"/>
      <c r="Y524" s="139"/>
      <c r="Z524" s="139"/>
      <c r="AA524" s="139"/>
      <c r="AB524" s="139"/>
      <c r="AC524" s="139"/>
      <c r="AD524" s="139"/>
      <c r="AE524" s="139"/>
      <c r="AF524" s="140"/>
      <c r="AG524" s="140"/>
      <c r="AH524" s="140"/>
      <c r="AI524" s="140"/>
      <c r="AJ524" s="140"/>
      <c r="AK524" s="140"/>
      <c r="AL524" s="140"/>
      <c r="AM524" s="140"/>
      <c r="AN524" s="140"/>
      <c r="AO524" s="140"/>
      <c r="AP524" s="140"/>
      <c r="AQ524" s="140"/>
      <c r="AR524" s="140"/>
      <c r="AS524" s="140"/>
      <c r="AT524" s="140"/>
      <c r="AU524" s="140"/>
      <c r="AV524" s="140"/>
      <c r="AW524" s="140"/>
      <c r="AX524" s="140"/>
      <c r="AY524" s="140"/>
      <c r="AZ524" s="140"/>
      <c r="BA524" s="140"/>
      <c r="BB524" s="140"/>
      <c r="BC524" s="140"/>
      <c r="BD524" s="140"/>
      <c r="BE524" s="140"/>
    </row>
    <row r="525" s="119" customFormat="1" ht="24" customHeight="1" outlineLevel="1" spans="1:57">
      <c r="A525" s="141"/>
      <c r="B525" s="14" t="s">
        <v>101</v>
      </c>
      <c r="C525" s="15"/>
      <c r="D525" s="142"/>
      <c r="E525" s="143"/>
      <c r="F525" s="143"/>
      <c r="G525" s="143"/>
      <c r="H525" s="143"/>
      <c r="I525" s="143"/>
      <c r="J525" s="143"/>
      <c r="K525" s="144"/>
      <c r="L525" s="178"/>
      <c r="M525" s="139"/>
      <c r="N525" s="139"/>
      <c r="O525" s="139"/>
      <c r="P525" s="137"/>
      <c r="Q525" s="137"/>
      <c r="R525" s="138"/>
      <c r="S525" s="137"/>
      <c r="T525" s="137"/>
      <c r="U525" s="137"/>
      <c r="V525" s="137"/>
      <c r="W525" s="139"/>
      <c r="X525" s="139"/>
      <c r="Y525" s="139"/>
      <c r="Z525" s="139"/>
      <c r="AA525" s="139"/>
      <c r="AB525" s="139"/>
      <c r="AC525" s="139"/>
      <c r="AD525" s="139"/>
      <c r="AE525" s="139"/>
      <c r="AF525" s="140"/>
      <c r="AG525" s="140"/>
      <c r="AH525" s="140"/>
      <c r="AI525" s="140"/>
      <c r="AJ525" s="140"/>
      <c r="AK525" s="140"/>
      <c r="AL525" s="140"/>
      <c r="AM525" s="140"/>
      <c r="AN525" s="140"/>
      <c r="AO525" s="140"/>
      <c r="AP525" s="140"/>
      <c r="AQ525" s="140"/>
      <c r="AR525" s="140"/>
      <c r="AS525" s="140"/>
      <c r="AT525" s="140"/>
      <c r="AU525" s="140"/>
      <c r="AV525" s="140"/>
      <c r="AW525" s="140"/>
      <c r="AX525" s="140"/>
      <c r="AY525" s="140"/>
      <c r="AZ525" s="140"/>
      <c r="BA525" s="140"/>
      <c r="BB525" s="140"/>
      <c r="BC525" s="140"/>
      <c r="BD525" s="140"/>
      <c r="BE525" s="140"/>
    </row>
    <row r="526" s="119" customFormat="1" ht="96" customHeight="1" outlineLevel="2" spans="1:57">
      <c r="A526" s="162">
        <f>1+N(A525)</f>
        <v>1</v>
      </c>
      <c r="B526" s="14" t="s">
        <v>102</v>
      </c>
      <c r="C526" s="167" t="s">
        <v>103</v>
      </c>
      <c r="D526" s="142" t="s">
        <v>63</v>
      </c>
      <c r="E526" s="143">
        <v>25.33</v>
      </c>
      <c r="F526" s="143">
        <f>$F$28</f>
        <v>70</v>
      </c>
      <c r="G526" s="143">
        <f>$G$28</f>
        <v>0</v>
      </c>
      <c r="H526" s="143">
        <f>$H$28</f>
        <v>66.711</v>
      </c>
      <c r="I526" s="17">
        <f>(F526+G526+H526)*$I$3</f>
        <v>13.6711</v>
      </c>
      <c r="J526" s="18">
        <f>ROUND(SUM(F526:I526),2)</f>
        <v>150.38</v>
      </c>
      <c r="K526" s="19">
        <f>ROUND(J526*E526,2)</f>
        <v>3809.13</v>
      </c>
      <c r="L526" s="178"/>
      <c r="M526" s="139">
        <v>1</v>
      </c>
      <c r="N526" s="139">
        <v>3462.86</v>
      </c>
      <c r="O526" s="139"/>
      <c r="P526" s="37">
        <f>Q526+Q526*R526+S526+T526+U526</f>
        <v>136.711</v>
      </c>
      <c r="Q526" s="99">
        <f>$Q$28</f>
        <v>0</v>
      </c>
      <c r="R526" s="163">
        <f>$R$28</f>
        <v>0.01</v>
      </c>
      <c r="S526" s="99">
        <f>$S$28</f>
        <v>70</v>
      </c>
      <c r="T526" s="99">
        <f>$T$28</f>
        <v>64.711</v>
      </c>
      <c r="U526" s="99">
        <f>$U$28</f>
        <v>2</v>
      </c>
      <c r="V526" s="37">
        <f>P526*E526</f>
        <v>3462.88963</v>
      </c>
      <c r="W526" s="139"/>
      <c r="X526" s="139"/>
      <c r="Y526" s="139"/>
      <c r="Z526" s="139"/>
      <c r="AA526" s="139"/>
      <c r="AB526" s="139"/>
      <c r="AC526" s="139"/>
      <c r="AD526" s="139"/>
      <c r="AE526" s="139"/>
      <c r="AF526" s="140"/>
      <c r="AG526" s="140"/>
      <c r="AH526" s="140"/>
      <c r="AI526" s="140"/>
      <c r="AJ526" s="140"/>
      <c r="AK526" s="140"/>
      <c r="AL526" s="140"/>
      <c r="AM526" s="140"/>
      <c r="AN526" s="140"/>
      <c r="AO526" s="140"/>
      <c r="AP526" s="140"/>
      <c r="AQ526" s="140"/>
      <c r="AR526" s="140"/>
      <c r="AS526" s="140"/>
      <c r="AT526" s="140"/>
      <c r="AU526" s="140"/>
      <c r="AV526" s="140"/>
      <c r="AW526" s="140"/>
      <c r="AX526" s="140"/>
      <c r="AY526" s="140"/>
      <c r="AZ526" s="140"/>
      <c r="BA526" s="140"/>
      <c r="BB526" s="140"/>
      <c r="BC526" s="140"/>
      <c r="BD526" s="140"/>
      <c r="BE526" s="140"/>
    </row>
    <row r="527" s="119" customFormat="1" ht="72" customHeight="1" outlineLevel="2" spans="1:57">
      <c r="A527" s="162">
        <f>1+N(A526)</f>
        <v>2</v>
      </c>
      <c r="B527" s="14" t="s">
        <v>104</v>
      </c>
      <c r="C527" s="15" t="s">
        <v>105</v>
      </c>
      <c r="D527" s="142" t="s">
        <v>70</v>
      </c>
      <c r="E527" s="143">
        <v>12.08</v>
      </c>
      <c r="F527" s="143">
        <f>$F$29</f>
        <v>50</v>
      </c>
      <c r="G527" s="143">
        <f>$G$29</f>
        <v>0</v>
      </c>
      <c r="H527" s="143">
        <f>$H$29</f>
        <v>22.0941</v>
      </c>
      <c r="I527" s="17">
        <f>(F527+G527+H527)*$I$3</f>
        <v>7.20941</v>
      </c>
      <c r="J527" s="18">
        <f>ROUND(SUM(F527:I527),2)</f>
        <v>79.3</v>
      </c>
      <c r="K527" s="19">
        <f>ROUND(J527*E527,2)</f>
        <v>957.94</v>
      </c>
      <c r="L527" s="178"/>
      <c r="M527" s="139">
        <v>1</v>
      </c>
      <c r="N527" s="139">
        <v>870.85</v>
      </c>
      <c r="O527" s="139"/>
      <c r="P527" s="37">
        <f>Q527+Q527*R527+S527+T527+U527</f>
        <v>72.0941</v>
      </c>
      <c r="Q527" s="99">
        <f>$Q$29</f>
        <v>0</v>
      </c>
      <c r="R527" s="163">
        <f>$R$29</f>
        <v>0.01</v>
      </c>
      <c r="S527" s="99">
        <f>$S$29</f>
        <v>50</v>
      </c>
      <c r="T527" s="99">
        <f>$T$29</f>
        <v>22.0941</v>
      </c>
      <c r="U527" s="99">
        <f>$U$29</f>
        <v>0</v>
      </c>
      <c r="V527" s="37">
        <f>P527*E527</f>
        <v>870.896728</v>
      </c>
      <c r="W527" s="139"/>
      <c r="X527" s="139"/>
      <c r="Y527" s="139"/>
      <c r="Z527" s="139"/>
      <c r="AA527" s="139"/>
      <c r="AB527" s="139"/>
      <c r="AC527" s="139"/>
      <c r="AD527" s="139"/>
      <c r="AE527" s="139"/>
      <c r="AF527" s="140"/>
      <c r="AG527" s="140"/>
      <c r="AH527" s="140"/>
      <c r="AI527" s="140"/>
      <c r="AJ527" s="140"/>
      <c r="AK527" s="140"/>
      <c r="AL527" s="140"/>
      <c r="AM527" s="140"/>
      <c r="AN527" s="140"/>
      <c r="AO527" s="140"/>
      <c r="AP527" s="140"/>
      <c r="AQ527" s="140"/>
      <c r="AR527" s="140"/>
      <c r="AS527" s="140"/>
      <c r="AT527" s="140"/>
      <c r="AU527" s="140"/>
      <c r="AV527" s="140"/>
      <c r="AW527" s="140"/>
      <c r="AX527" s="140"/>
      <c r="AY527" s="140"/>
      <c r="AZ527" s="140"/>
      <c r="BA527" s="140"/>
      <c r="BB527" s="140"/>
      <c r="BC527" s="140"/>
      <c r="BD527" s="140"/>
      <c r="BE527" s="140"/>
    </row>
    <row r="528" s="119" customFormat="1" ht="72" customHeight="1" outlineLevel="2" spans="1:57">
      <c r="A528" s="145">
        <f>1+N(A527)</f>
        <v>3</v>
      </c>
      <c r="B528" s="146" t="s">
        <v>292</v>
      </c>
      <c r="C528" s="147" t="s">
        <v>293</v>
      </c>
      <c r="D528" s="148" t="s">
        <v>70</v>
      </c>
      <c r="E528" s="149">
        <f>4.76*2</f>
        <v>9.52</v>
      </c>
      <c r="F528" s="149">
        <f>S528*$S$1</f>
        <v>30</v>
      </c>
      <c r="G528" s="149">
        <f>Q528*(1+R528)*$Q$1</f>
        <v>65.6625</v>
      </c>
      <c r="H528" s="149">
        <f>(T528+U528)*$T$1</f>
        <v>2.7</v>
      </c>
      <c r="I528" s="150">
        <f>(F528+G528+H528)*$I$3</f>
        <v>9.83625</v>
      </c>
      <c r="J528" s="151">
        <f>ROUND(SUM(F528:I528),2)</f>
        <v>108.2</v>
      </c>
      <c r="K528" s="152">
        <f>ROUND(J528*E528,2)</f>
        <v>1030.06</v>
      </c>
      <c r="L528" s="178"/>
      <c r="M528" s="139">
        <v>1</v>
      </c>
      <c r="N528" s="139">
        <v>936.39</v>
      </c>
      <c r="O528" s="139"/>
      <c r="P528" s="37">
        <f>Q528+Q528*R528+S528+T528+U528</f>
        <v>98.3625</v>
      </c>
      <c r="Q528" s="71">
        <v>63.75</v>
      </c>
      <c r="R528" s="157">
        <v>0.03</v>
      </c>
      <c r="S528" s="71">
        <v>30</v>
      </c>
      <c r="T528" s="71">
        <v>2.5</v>
      </c>
      <c r="U528" s="71">
        <v>0.2</v>
      </c>
      <c r="V528" s="37">
        <f>P528*E528</f>
        <v>936.411</v>
      </c>
      <c r="W528" s="139"/>
      <c r="X528" s="139"/>
      <c r="Y528" s="139"/>
      <c r="Z528" s="139"/>
      <c r="AA528" s="139"/>
      <c r="AB528" s="139"/>
      <c r="AC528" s="139"/>
      <c r="AD528" s="139"/>
      <c r="AE528" s="139"/>
      <c r="AF528" s="140"/>
      <c r="AG528" s="140"/>
      <c r="AH528" s="140"/>
      <c r="AI528" s="140"/>
      <c r="AJ528" s="140"/>
      <c r="AK528" s="140"/>
      <c r="AL528" s="140"/>
      <c r="AM528" s="140"/>
      <c r="AN528" s="140"/>
      <c r="AO528" s="140"/>
      <c r="AP528" s="140"/>
      <c r="AQ528" s="140"/>
      <c r="AR528" s="140"/>
      <c r="AS528" s="140"/>
      <c r="AT528" s="140"/>
      <c r="AU528" s="140"/>
      <c r="AV528" s="140"/>
      <c r="AW528" s="140"/>
      <c r="AX528" s="140"/>
      <c r="AY528" s="140"/>
      <c r="AZ528" s="140"/>
      <c r="BA528" s="140"/>
      <c r="BB528" s="140"/>
      <c r="BC528" s="140"/>
      <c r="BD528" s="140"/>
      <c r="BE528" s="140"/>
    </row>
    <row r="529" s="119" customFormat="1" ht="60" customHeight="1" outlineLevel="2" spans="1:57">
      <c r="A529" s="162">
        <f>1+N(A528)</f>
        <v>4</v>
      </c>
      <c r="B529" s="14" t="s">
        <v>145</v>
      </c>
      <c r="C529" s="15" t="s">
        <v>146</v>
      </c>
      <c r="D529" s="142" t="s">
        <v>63</v>
      </c>
      <c r="E529" s="143">
        <f>25.33+12.08*0.3</f>
        <v>28.954</v>
      </c>
      <c r="F529" s="143">
        <f>$F$122</f>
        <v>28.5</v>
      </c>
      <c r="G529" s="143">
        <f>$G$122</f>
        <v>5.5</v>
      </c>
      <c r="H529" s="143">
        <f>$H$122</f>
        <v>6.8</v>
      </c>
      <c r="I529" s="17">
        <f>(F529+G529+H529)*$I$3</f>
        <v>4.08</v>
      </c>
      <c r="J529" s="18">
        <f>ROUND(SUM(F529:I529),2)</f>
        <v>44.88</v>
      </c>
      <c r="K529" s="19">
        <f>ROUND(J529*E529,2)</f>
        <v>1299.46</v>
      </c>
      <c r="L529" s="178"/>
      <c r="M529" s="139">
        <v>1</v>
      </c>
      <c r="N529" s="139">
        <v>1181.32</v>
      </c>
      <c r="O529" s="139"/>
      <c r="P529" s="37">
        <f>Q529+Q529*R529+S529+T529+U529</f>
        <v>40.8</v>
      </c>
      <c r="Q529" s="99">
        <f>$Q$122</f>
        <v>5.5</v>
      </c>
      <c r="R529" s="163">
        <f>$R$122</f>
        <v>0</v>
      </c>
      <c r="S529" s="99">
        <f>$S$122</f>
        <v>28.5</v>
      </c>
      <c r="T529" s="99">
        <f>$T$122</f>
        <v>6.5</v>
      </c>
      <c r="U529" s="99">
        <f>$U$122</f>
        <v>0.3</v>
      </c>
      <c r="V529" s="37">
        <f>P529*E529</f>
        <v>1181.3232</v>
      </c>
      <c r="W529" s="139"/>
      <c r="X529" s="139"/>
      <c r="Y529" s="139"/>
      <c r="Z529" s="139"/>
      <c r="AA529" s="139"/>
      <c r="AB529" s="139"/>
      <c r="AC529" s="139"/>
      <c r="AD529" s="139"/>
      <c r="AE529" s="139"/>
      <c r="AF529" s="140"/>
      <c r="AG529" s="140"/>
      <c r="AH529" s="140"/>
      <c r="AI529" s="140"/>
      <c r="AJ529" s="140"/>
      <c r="AK529" s="140"/>
      <c r="AL529" s="140"/>
      <c r="AM529" s="140"/>
      <c r="AN529" s="140"/>
      <c r="AO529" s="140"/>
      <c r="AP529" s="140"/>
      <c r="AQ529" s="140"/>
      <c r="AR529" s="140"/>
      <c r="AS529" s="140"/>
      <c r="AT529" s="140"/>
      <c r="AU529" s="140"/>
      <c r="AV529" s="140"/>
      <c r="AW529" s="140"/>
      <c r="AX529" s="140"/>
      <c r="AY529" s="140"/>
      <c r="AZ529" s="140"/>
      <c r="BA529" s="140"/>
      <c r="BB529" s="140"/>
      <c r="BC529" s="140"/>
      <c r="BD529" s="140"/>
      <c r="BE529" s="140"/>
    </row>
    <row r="530" s="119" customFormat="1" ht="24" customHeight="1" outlineLevel="1" spans="1:57">
      <c r="A530" s="141"/>
      <c r="B530" s="14" t="s">
        <v>294</v>
      </c>
      <c r="C530" s="15"/>
      <c r="D530" s="142"/>
      <c r="E530" s="143"/>
      <c r="F530" s="143"/>
      <c r="G530" s="143"/>
      <c r="H530" s="143"/>
      <c r="I530" s="143"/>
      <c r="J530" s="143"/>
      <c r="K530" s="144"/>
      <c r="L530" s="178"/>
      <c r="M530" s="139"/>
      <c r="N530" s="139"/>
      <c r="O530" s="139"/>
      <c r="P530" s="137"/>
      <c r="Q530" s="137"/>
      <c r="R530" s="138"/>
      <c r="S530" s="137"/>
      <c r="T530" s="137"/>
      <c r="U530" s="137"/>
      <c r="V530" s="137"/>
      <c r="W530" s="139"/>
      <c r="X530" s="139"/>
      <c r="Y530" s="139"/>
      <c r="Z530" s="139"/>
      <c r="AA530" s="139"/>
      <c r="AB530" s="139"/>
      <c r="AC530" s="139"/>
      <c r="AD530" s="139"/>
      <c r="AE530" s="139"/>
      <c r="AF530" s="140"/>
      <c r="AG530" s="140"/>
      <c r="AH530" s="140"/>
      <c r="AI530" s="140"/>
      <c r="AJ530" s="140"/>
      <c r="AK530" s="140"/>
      <c r="AL530" s="140"/>
      <c r="AM530" s="140"/>
      <c r="AN530" s="140"/>
      <c r="AO530" s="140"/>
      <c r="AP530" s="140"/>
      <c r="AQ530" s="140"/>
      <c r="AR530" s="140"/>
      <c r="AS530" s="140"/>
      <c r="AT530" s="140"/>
      <c r="AU530" s="140"/>
      <c r="AV530" s="140"/>
      <c r="AW530" s="140"/>
      <c r="AX530" s="140"/>
      <c r="AY530" s="140"/>
      <c r="AZ530" s="140"/>
      <c r="BA530" s="140"/>
      <c r="BB530" s="140"/>
      <c r="BC530" s="140"/>
      <c r="BD530" s="140"/>
      <c r="BE530" s="140"/>
    </row>
    <row r="531" s="119" customFormat="1" ht="60" customHeight="1" outlineLevel="2" spans="1:57">
      <c r="A531" s="145">
        <f>1+N(A530)</f>
        <v>1</v>
      </c>
      <c r="B531" s="146" t="s">
        <v>295</v>
      </c>
      <c r="C531" s="147" t="s">
        <v>296</v>
      </c>
      <c r="D531" s="148" t="s">
        <v>63</v>
      </c>
      <c r="E531" s="149">
        <f>1*3.4*2</f>
        <v>6.8</v>
      </c>
      <c r="F531" s="149">
        <f>S531*$S$1</f>
        <v>145</v>
      </c>
      <c r="G531" s="149">
        <f>Q531*(1+R531)*$Q$1</f>
        <v>1250</v>
      </c>
      <c r="H531" s="149">
        <f>(T531+U531)*$T$1</f>
        <v>28.5</v>
      </c>
      <c r="I531" s="150">
        <f>(F531+G531+H531)*$I$3</f>
        <v>142.35</v>
      </c>
      <c r="J531" s="151">
        <f>ROUND(SUM(F531:I531),2)</f>
        <v>1565.85</v>
      </c>
      <c r="K531" s="152">
        <f>ROUND(J531*E531,2)</f>
        <v>10647.78</v>
      </c>
      <c r="L531" s="178"/>
      <c r="M531" s="139">
        <v>1</v>
      </c>
      <c r="N531" s="139">
        <v>9679.8</v>
      </c>
      <c r="O531" s="139"/>
      <c r="P531" s="37">
        <f>Q531+Q531*R531+S531+T531+U531</f>
        <v>1423.5</v>
      </c>
      <c r="Q531" s="71">
        <v>1250</v>
      </c>
      <c r="R531" s="157">
        <v>0</v>
      </c>
      <c r="S531" s="71">
        <v>145</v>
      </c>
      <c r="T531" s="71">
        <v>27</v>
      </c>
      <c r="U531" s="71">
        <v>1.5</v>
      </c>
      <c r="V531" s="37">
        <f>P531*E531</f>
        <v>9679.8</v>
      </c>
      <c r="W531" s="139"/>
      <c r="X531" s="139"/>
      <c r="Y531" s="139"/>
      <c r="Z531" s="139"/>
      <c r="AA531" s="139"/>
      <c r="AB531" s="139"/>
      <c r="AC531" s="139"/>
      <c r="AD531" s="139"/>
      <c r="AE531" s="139"/>
      <c r="AF531" s="140"/>
      <c r="AG531" s="140"/>
      <c r="AH531" s="140"/>
      <c r="AI531" s="140"/>
      <c r="AJ531" s="140"/>
      <c r="AK531" s="140"/>
      <c r="AL531" s="140"/>
      <c r="AM531" s="140"/>
      <c r="AN531" s="140"/>
      <c r="AO531" s="140"/>
      <c r="AP531" s="140"/>
      <c r="AQ531" s="140"/>
      <c r="AR531" s="140"/>
      <c r="AS531" s="140"/>
      <c r="AT531" s="140"/>
      <c r="AU531" s="140"/>
      <c r="AV531" s="140"/>
      <c r="AW531" s="140"/>
      <c r="AX531" s="140"/>
      <c r="AY531" s="140"/>
      <c r="AZ531" s="140"/>
      <c r="BA531" s="140"/>
      <c r="BB531" s="140"/>
      <c r="BC531" s="140"/>
      <c r="BD531" s="140"/>
      <c r="BE531" s="140"/>
    </row>
    <row r="532" s="119" customFormat="1" ht="48" customHeight="1" outlineLevel="2" spans="1:57">
      <c r="A532" s="145">
        <f>1+N(A531)</f>
        <v>2</v>
      </c>
      <c r="B532" s="146" t="s">
        <v>297</v>
      </c>
      <c r="C532" s="147" t="s">
        <v>298</v>
      </c>
      <c r="D532" s="148" t="s">
        <v>63</v>
      </c>
      <c r="E532" s="149">
        <f>0.65*3.4</f>
        <v>2.21</v>
      </c>
      <c r="F532" s="149">
        <f>S532*$S$1</f>
        <v>145</v>
      </c>
      <c r="G532" s="149">
        <f>Q532*(1+R532)*$Q$1</f>
        <v>1250</v>
      </c>
      <c r="H532" s="149">
        <f>(T532+U532)*$T$1</f>
        <v>28.5</v>
      </c>
      <c r="I532" s="150">
        <f>(F532+G532+H532)*$I$3</f>
        <v>142.35</v>
      </c>
      <c r="J532" s="151">
        <f>ROUND(SUM(F532:I532),2)</f>
        <v>1565.85</v>
      </c>
      <c r="K532" s="152">
        <f>ROUND(J532*E532,2)</f>
        <v>3460.53</v>
      </c>
      <c r="L532" s="178"/>
      <c r="M532" s="139">
        <v>1</v>
      </c>
      <c r="N532" s="139">
        <v>3145.94</v>
      </c>
      <c r="O532" s="139"/>
      <c r="P532" s="37">
        <f>Q532+Q532*R532+S532+T532+U532</f>
        <v>1423.5</v>
      </c>
      <c r="Q532" s="71">
        <v>1250</v>
      </c>
      <c r="R532" s="157">
        <v>0</v>
      </c>
      <c r="S532" s="71">
        <v>145</v>
      </c>
      <c r="T532" s="71">
        <v>27</v>
      </c>
      <c r="U532" s="71">
        <v>1.5</v>
      </c>
      <c r="V532" s="37">
        <f>P532*E532</f>
        <v>3145.935</v>
      </c>
      <c r="W532" s="139"/>
      <c r="X532" s="139"/>
      <c r="Y532" s="139"/>
      <c r="Z532" s="139"/>
      <c r="AA532" s="139"/>
      <c r="AB532" s="139"/>
      <c r="AC532" s="139"/>
      <c r="AD532" s="139"/>
      <c r="AE532" s="139"/>
      <c r="AF532" s="140"/>
      <c r="AG532" s="140"/>
      <c r="AH532" s="140"/>
      <c r="AI532" s="140"/>
      <c r="AJ532" s="140"/>
      <c r="AK532" s="140"/>
      <c r="AL532" s="140"/>
      <c r="AM532" s="140"/>
      <c r="AN532" s="140"/>
      <c r="AO532" s="140"/>
      <c r="AP532" s="140"/>
      <c r="AQ532" s="140"/>
      <c r="AR532" s="140"/>
      <c r="AS532" s="140"/>
      <c r="AT532" s="140"/>
      <c r="AU532" s="140"/>
      <c r="AV532" s="140"/>
      <c r="AW532" s="140"/>
      <c r="AX532" s="140"/>
      <c r="AY532" s="140"/>
      <c r="AZ532" s="140"/>
      <c r="BA532" s="140"/>
      <c r="BB532" s="140"/>
      <c r="BC532" s="140"/>
      <c r="BD532" s="140"/>
      <c r="BE532" s="140"/>
    </row>
    <row r="533" s="119" customFormat="1" ht="72" customHeight="1" outlineLevel="2" spans="1:57">
      <c r="A533" s="145">
        <f>1+N(A532)</f>
        <v>3</v>
      </c>
      <c r="B533" s="146" t="s">
        <v>299</v>
      </c>
      <c r="C533" s="147" t="s">
        <v>300</v>
      </c>
      <c r="D533" s="148" t="s">
        <v>156</v>
      </c>
      <c r="E533" s="149">
        <v>2</v>
      </c>
      <c r="F533" s="149">
        <f t="shared" ref="F533:F539" si="144">S533*$S$1</f>
        <v>353</v>
      </c>
      <c r="G533" s="149">
        <f t="shared" ref="G533:G539" si="145">Q533*(1+R533)*$Q$1</f>
        <v>5118</v>
      </c>
      <c r="H533" s="149">
        <f t="shared" ref="H533:H539" si="146">(T533+U533)*$T$1</f>
        <v>105.8625</v>
      </c>
      <c r="I533" s="150">
        <f>(F533+G533+H533)*$I$3</f>
        <v>557.68625</v>
      </c>
      <c r="J533" s="151">
        <f>ROUND(SUM(F533:I533),2)</f>
        <v>6134.55</v>
      </c>
      <c r="K533" s="152">
        <f>ROUND(J533*E533,2)</f>
        <v>12269.1</v>
      </c>
      <c r="L533" s="178"/>
      <c r="M533" s="139">
        <v>1</v>
      </c>
      <c r="N533" s="139">
        <v>11153.72</v>
      </c>
      <c r="O533" s="139"/>
      <c r="P533" s="37">
        <f>Q533+Q533*R533+S533+T533+U533</f>
        <v>5576.8625</v>
      </c>
      <c r="Q533" s="71">
        <f>(1560+450)*1.8+1500</f>
        <v>5118</v>
      </c>
      <c r="R533" s="155">
        <v>0</v>
      </c>
      <c r="S533" s="169">
        <f>(85)*1.8+200</f>
        <v>353</v>
      </c>
      <c r="T533" s="169">
        <f>(15)*1.8+45*1.3*1.2</f>
        <v>97.2</v>
      </c>
      <c r="U533" s="169">
        <f>1.5*5.775</f>
        <v>8.6625</v>
      </c>
      <c r="V533" s="37">
        <f>P533*E533</f>
        <v>11153.725</v>
      </c>
      <c r="W533" s="139"/>
      <c r="X533" s="139"/>
      <c r="Y533" s="139"/>
      <c r="Z533" s="139"/>
      <c r="AA533" s="139"/>
      <c r="AB533" s="139"/>
      <c r="AC533" s="139"/>
      <c r="AD533" s="139"/>
      <c r="AE533" s="139"/>
      <c r="AF533" s="140"/>
      <c r="AG533" s="140"/>
      <c r="AH533" s="140"/>
      <c r="AI533" s="140"/>
      <c r="AJ533" s="140"/>
      <c r="AK533" s="140"/>
      <c r="AL533" s="140"/>
      <c r="AM533" s="140"/>
      <c r="AN533" s="140"/>
      <c r="AO533" s="140"/>
      <c r="AP533" s="140"/>
      <c r="AQ533" s="140"/>
      <c r="AR533" s="140"/>
      <c r="AS533" s="140"/>
      <c r="AT533" s="140"/>
      <c r="AU533" s="140"/>
      <c r="AV533" s="140"/>
      <c r="AW533" s="140"/>
      <c r="AX533" s="140"/>
      <c r="AY533" s="140"/>
      <c r="AZ533" s="140"/>
      <c r="BA533" s="140"/>
      <c r="BB533" s="140"/>
      <c r="BC533" s="140"/>
      <c r="BD533" s="140"/>
      <c r="BE533" s="140"/>
    </row>
    <row r="534" s="119" customFormat="1" ht="36" customHeight="1" outlineLevel="2" spans="1:57">
      <c r="A534" s="145">
        <f>1+N(A533)</f>
        <v>4</v>
      </c>
      <c r="B534" s="146" t="s">
        <v>301</v>
      </c>
      <c r="C534" s="147" t="s">
        <v>302</v>
      </c>
      <c r="D534" s="148" t="s">
        <v>63</v>
      </c>
      <c r="E534" s="149">
        <f>10.79*3.4</f>
        <v>36.686</v>
      </c>
      <c r="F534" s="149">
        <f t="shared" si="144"/>
        <v>45</v>
      </c>
      <c r="G534" s="149">
        <f t="shared" si="145"/>
        <v>798.25</v>
      </c>
      <c r="H534" s="149">
        <f t="shared" si="146"/>
        <v>15.5</v>
      </c>
      <c r="I534" s="150">
        <f>(F534+G534+H534)*$I$3</f>
        <v>85.875</v>
      </c>
      <c r="J534" s="151">
        <f>ROUND(SUM(F534:I534),2)</f>
        <v>944.63</v>
      </c>
      <c r="K534" s="152">
        <f>ROUND(J534*E534,2)</f>
        <v>34654.7</v>
      </c>
      <c r="L534" s="178"/>
      <c r="M534" s="139">
        <v>1</v>
      </c>
      <c r="N534" s="139">
        <v>31504.1</v>
      </c>
      <c r="O534" s="139"/>
      <c r="P534" s="37">
        <f>Q534+Q534*R534+S534+T534+U534</f>
        <v>858.75</v>
      </c>
      <c r="Q534" s="71">
        <v>775</v>
      </c>
      <c r="R534" s="157">
        <v>0.03</v>
      </c>
      <c r="S534" s="71">
        <v>45</v>
      </c>
      <c r="T534" s="71">
        <v>15</v>
      </c>
      <c r="U534" s="71">
        <v>0.5</v>
      </c>
      <c r="V534" s="37">
        <f>P534*E534</f>
        <v>31504.1025</v>
      </c>
      <c r="W534" s="139"/>
      <c r="X534" s="139"/>
      <c r="Y534" s="139"/>
      <c r="Z534" s="139"/>
      <c r="AA534" s="139"/>
      <c r="AB534" s="139"/>
      <c r="AC534" s="139"/>
      <c r="AD534" s="139"/>
      <c r="AE534" s="139"/>
      <c r="AF534" s="140"/>
      <c r="AG534" s="140"/>
      <c r="AH534" s="140"/>
      <c r="AI534" s="140"/>
      <c r="AJ534" s="140"/>
      <c r="AK534" s="140"/>
      <c r="AL534" s="140"/>
      <c r="AM534" s="140"/>
      <c r="AN534" s="140"/>
      <c r="AO534" s="140"/>
      <c r="AP534" s="140"/>
      <c r="AQ534" s="140"/>
      <c r="AR534" s="140"/>
      <c r="AS534" s="140"/>
      <c r="AT534" s="140"/>
      <c r="AU534" s="140"/>
      <c r="AV534" s="140"/>
      <c r="AW534" s="140"/>
      <c r="AX534" s="140"/>
      <c r="AY534" s="140"/>
      <c r="AZ534" s="140"/>
      <c r="BA534" s="140"/>
      <c r="BB534" s="140"/>
      <c r="BC534" s="140"/>
      <c r="BD534" s="140"/>
      <c r="BE534" s="140"/>
    </row>
    <row r="535" s="119" customFormat="1" ht="48" customHeight="1" outlineLevel="2" spans="1:57">
      <c r="A535" s="145">
        <f>1+N(A534)</f>
        <v>5</v>
      </c>
      <c r="B535" s="146" t="s">
        <v>303</v>
      </c>
      <c r="C535" s="147" t="s">
        <v>304</v>
      </c>
      <c r="D535" s="148" t="s">
        <v>63</v>
      </c>
      <c r="E535" s="149">
        <f>2*0.4*1.07</f>
        <v>0.856</v>
      </c>
      <c r="F535" s="149">
        <f t="shared" si="144"/>
        <v>110</v>
      </c>
      <c r="G535" s="149">
        <f t="shared" si="145"/>
        <v>650</v>
      </c>
      <c r="H535" s="149">
        <f t="shared" si="146"/>
        <v>17</v>
      </c>
      <c r="I535" s="150">
        <f>(F535+G535+H535)*$I$3</f>
        <v>77.7</v>
      </c>
      <c r="J535" s="151">
        <f>ROUND(SUM(F535:I535),2)</f>
        <v>854.7</v>
      </c>
      <c r="K535" s="152">
        <f>ROUND(J535*E535,2)</f>
        <v>731.62</v>
      </c>
      <c r="L535" s="178"/>
      <c r="M535" s="139">
        <v>1</v>
      </c>
      <c r="N535" s="139">
        <v>665.11</v>
      </c>
      <c r="O535" s="139"/>
      <c r="P535" s="37">
        <f>Q535+Q535*R535+S535+T535+U535</f>
        <v>777</v>
      </c>
      <c r="Q535" s="71">
        <v>650</v>
      </c>
      <c r="R535" s="157">
        <v>0</v>
      </c>
      <c r="S535" s="71">
        <v>110</v>
      </c>
      <c r="T535" s="71">
        <v>15</v>
      </c>
      <c r="U535" s="71">
        <v>2</v>
      </c>
      <c r="V535" s="37">
        <f>P535*E535</f>
        <v>665.112</v>
      </c>
      <c r="W535" s="139"/>
      <c r="X535" s="139"/>
      <c r="Y535" s="139"/>
      <c r="Z535" s="139"/>
      <c r="AA535" s="139"/>
      <c r="AB535" s="139"/>
      <c r="AC535" s="139"/>
      <c r="AD535" s="139"/>
      <c r="AE535" s="139"/>
      <c r="AF535" s="140"/>
      <c r="AG535" s="140"/>
      <c r="AH535" s="140"/>
      <c r="AI535" s="140"/>
      <c r="AJ535" s="140"/>
      <c r="AK535" s="140"/>
      <c r="AL535" s="140"/>
      <c r="AM535" s="140"/>
      <c r="AN535" s="140"/>
      <c r="AO535" s="140"/>
      <c r="AP535" s="140"/>
      <c r="AQ535" s="140"/>
      <c r="AR535" s="140"/>
      <c r="AS535" s="140"/>
      <c r="AT535" s="140"/>
      <c r="AU535" s="140"/>
      <c r="AV535" s="140"/>
      <c r="AW535" s="140"/>
      <c r="AX535" s="140"/>
      <c r="AY535" s="140"/>
      <c r="AZ535" s="140"/>
      <c r="BA535" s="140"/>
      <c r="BB535" s="140"/>
      <c r="BC535" s="140"/>
      <c r="BD535" s="140"/>
      <c r="BE535" s="140"/>
    </row>
    <row r="536" s="119" customFormat="1" ht="24" customHeight="1" outlineLevel="1" spans="1:57">
      <c r="A536" s="132" t="s">
        <v>139</v>
      </c>
      <c r="B536" s="8" t="s">
        <v>305</v>
      </c>
      <c r="C536" s="180"/>
      <c r="D536" s="133"/>
      <c r="E536" s="134"/>
      <c r="F536" s="134"/>
      <c r="G536" s="134"/>
      <c r="H536" s="134"/>
      <c r="I536" s="134"/>
      <c r="J536" s="134"/>
      <c r="K536" s="11"/>
      <c r="L536" s="178"/>
      <c r="M536" s="139"/>
      <c r="N536" s="139"/>
      <c r="O536" s="139" t="str">
        <f>_xlfn.DISPIMG("ID_D24ED736F8CA423690822537BB5D3C3E",1)</f>
        <v>=DISPIMG("ID_D24ED736F8CA423690822537BB5D3C3E",1)</v>
      </c>
      <c r="P536" s="137"/>
      <c r="Q536" s="137"/>
      <c r="R536" s="138"/>
      <c r="S536" s="137"/>
      <c r="T536" s="137"/>
      <c r="U536" s="137"/>
      <c r="V536" s="137"/>
      <c r="W536" s="139"/>
      <c r="X536" s="139"/>
      <c r="Y536" s="139"/>
      <c r="Z536" s="139"/>
      <c r="AA536" s="139"/>
      <c r="AB536" s="139"/>
      <c r="AC536" s="139"/>
      <c r="AD536" s="139"/>
      <c r="AE536" s="139"/>
      <c r="AF536" s="140"/>
      <c r="AG536" s="140"/>
      <c r="AH536" s="140"/>
      <c r="AI536" s="140"/>
      <c r="AJ536" s="140"/>
      <c r="AK536" s="140"/>
      <c r="AL536" s="140"/>
      <c r="AM536" s="140"/>
      <c r="AN536" s="140"/>
      <c r="AO536" s="140"/>
      <c r="AP536" s="140"/>
      <c r="AQ536" s="140"/>
      <c r="AR536" s="140"/>
      <c r="AS536" s="140"/>
      <c r="AT536" s="140"/>
      <c r="AU536" s="140"/>
      <c r="AV536" s="140"/>
      <c r="AW536" s="140"/>
      <c r="AX536" s="140"/>
      <c r="AY536" s="140"/>
      <c r="AZ536" s="140"/>
      <c r="BA536" s="140"/>
      <c r="BB536" s="140"/>
      <c r="BC536" s="140"/>
      <c r="BD536" s="140"/>
      <c r="BE536" s="140"/>
    </row>
    <row r="537" s="119" customFormat="1" ht="24" customHeight="1" outlineLevel="1" spans="1:57">
      <c r="A537" s="141"/>
      <c r="B537" s="14" t="s">
        <v>60</v>
      </c>
      <c r="C537" s="15"/>
      <c r="D537" s="142"/>
      <c r="E537" s="143"/>
      <c r="F537" s="143"/>
      <c r="G537" s="143"/>
      <c r="H537" s="143"/>
      <c r="I537" s="143"/>
      <c r="J537" s="143"/>
      <c r="K537" s="144"/>
      <c r="L537" s="178"/>
      <c r="M537" s="139"/>
      <c r="N537" s="139"/>
      <c r="O537" s="139"/>
      <c r="P537" s="137"/>
      <c r="Q537" s="137"/>
      <c r="R537" s="138"/>
      <c r="S537" s="137"/>
      <c r="T537" s="137"/>
      <c r="U537" s="137"/>
      <c r="V537" s="137"/>
      <c r="W537" s="139"/>
      <c r="X537" s="139"/>
      <c r="Y537" s="139"/>
      <c r="Z537" s="139"/>
      <c r="AA537" s="139"/>
      <c r="AB537" s="139"/>
      <c r="AC537" s="139"/>
      <c r="AD537" s="139"/>
      <c r="AE537" s="139"/>
      <c r="AF537" s="140"/>
      <c r="AG537" s="140"/>
      <c r="AH537" s="140"/>
      <c r="AI537" s="140"/>
      <c r="AJ537" s="140"/>
      <c r="AK537" s="140"/>
      <c r="AL537" s="140"/>
      <c r="AM537" s="140"/>
      <c r="AN537" s="140"/>
      <c r="AO537" s="140"/>
      <c r="AP537" s="140"/>
      <c r="AQ537" s="140"/>
      <c r="AR537" s="140"/>
      <c r="AS537" s="140"/>
      <c r="AT537" s="140"/>
      <c r="AU537" s="140"/>
      <c r="AV537" s="140"/>
      <c r="AW537" s="140"/>
      <c r="AX537" s="140"/>
      <c r="AY537" s="140"/>
      <c r="AZ537" s="140"/>
      <c r="BA537" s="140"/>
      <c r="BB537" s="140"/>
      <c r="BC537" s="140"/>
      <c r="BD537" s="140"/>
      <c r="BE537" s="140"/>
    </row>
    <row r="538" s="119" customFormat="1" ht="108" customHeight="1" outlineLevel="2" spans="1:57">
      <c r="A538" s="145">
        <f>1+N(A537)</f>
        <v>1</v>
      </c>
      <c r="B538" s="146" t="s">
        <v>61</v>
      </c>
      <c r="C538" s="147" t="s">
        <v>253</v>
      </c>
      <c r="D538" s="148" t="s">
        <v>63</v>
      </c>
      <c r="E538" s="149">
        <v>252.64</v>
      </c>
      <c r="F538" s="149">
        <f t="shared" si="144"/>
        <v>140</v>
      </c>
      <c r="G538" s="149">
        <f t="shared" si="145"/>
        <v>854.9</v>
      </c>
      <c r="H538" s="149">
        <f t="shared" si="146"/>
        <v>47.7</v>
      </c>
      <c r="I538" s="150">
        <f>(F538+G538+H538)*$I$3</f>
        <v>104.26</v>
      </c>
      <c r="J538" s="151">
        <f>ROUND(SUM(F538:I538),2)</f>
        <v>1146.86</v>
      </c>
      <c r="K538" s="152">
        <f>ROUND(J538*E538,2)</f>
        <v>289742.71</v>
      </c>
      <c r="L538" s="178"/>
      <c r="M538" s="139">
        <v>1</v>
      </c>
      <c r="N538" s="139">
        <v>263402.46</v>
      </c>
      <c r="O538" s="139"/>
      <c r="P538" s="37">
        <f>Q538+Q538*R538+S538+T538+U538</f>
        <v>1042.6</v>
      </c>
      <c r="Q538" s="181">
        <v>830</v>
      </c>
      <c r="R538" s="155">
        <v>0.03</v>
      </c>
      <c r="S538" s="169">
        <v>140</v>
      </c>
      <c r="T538" s="169">
        <v>46.2</v>
      </c>
      <c r="U538" s="169">
        <v>1.5</v>
      </c>
      <c r="V538" s="37">
        <f>P538*E538</f>
        <v>263402.464</v>
      </c>
      <c r="W538" s="139"/>
      <c r="X538" s="139"/>
      <c r="Y538" s="139"/>
      <c r="Z538" s="139"/>
      <c r="AA538" s="139"/>
      <c r="AB538" s="139"/>
      <c r="AC538" s="139"/>
      <c r="AD538" s="139"/>
      <c r="AE538" s="139"/>
      <c r="AF538" s="140"/>
      <c r="AG538" s="140"/>
      <c r="AH538" s="140"/>
      <c r="AI538" s="140"/>
      <c r="AJ538" s="140"/>
      <c r="AK538" s="140"/>
      <c r="AL538" s="140"/>
      <c r="AM538" s="140"/>
      <c r="AN538" s="140"/>
      <c r="AO538" s="140"/>
      <c r="AP538" s="140"/>
      <c r="AQ538" s="140"/>
      <c r="AR538" s="140"/>
      <c r="AS538" s="140"/>
      <c r="AT538" s="140"/>
      <c r="AU538" s="140"/>
      <c r="AV538" s="140"/>
      <c r="AW538" s="140"/>
      <c r="AX538" s="140"/>
      <c r="AY538" s="140"/>
      <c r="AZ538" s="140"/>
      <c r="BA538" s="140"/>
      <c r="BB538" s="140"/>
      <c r="BC538" s="140"/>
      <c r="BD538" s="140"/>
      <c r="BE538" s="140"/>
    </row>
    <row r="539" s="119" customFormat="1" ht="60" customHeight="1" outlineLevel="2" spans="1:57">
      <c r="A539" s="145">
        <f>1+N(A538)</f>
        <v>2</v>
      </c>
      <c r="B539" s="146" t="s">
        <v>168</v>
      </c>
      <c r="C539" s="147" t="s">
        <v>306</v>
      </c>
      <c r="D539" s="148" t="s">
        <v>63</v>
      </c>
      <c r="E539" s="149">
        <v>10.84</v>
      </c>
      <c r="F539" s="149">
        <f t="shared" si="144"/>
        <v>28</v>
      </c>
      <c r="G539" s="149">
        <f t="shared" si="145"/>
        <v>0</v>
      </c>
      <c r="H539" s="149">
        <f t="shared" si="146"/>
        <v>31.8</v>
      </c>
      <c r="I539" s="150">
        <f>(F539+G539+H539)*$I$3</f>
        <v>5.98</v>
      </c>
      <c r="J539" s="151">
        <f>ROUND(SUM(F539:I539),2)</f>
        <v>65.78</v>
      </c>
      <c r="K539" s="152">
        <f>ROUND(J539*E539,2)</f>
        <v>713.06</v>
      </c>
      <c r="L539" s="178"/>
      <c r="M539" s="139">
        <v>1</v>
      </c>
      <c r="N539" s="139">
        <v>648.23</v>
      </c>
      <c r="O539" s="139"/>
      <c r="P539" s="37">
        <f>Q539+Q539*R539+S539+T539+U539</f>
        <v>59.8</v>
      </c>
      <c r="Q539" s="71"/>
      <c r="R539" s="157">
        <v>0</v>
      </c>
      <c r="S539" s="71">
        <v>28</v>
      </c>
      <c r="T539" s="71">
        <v>31.5</v>
      </c>
      <c r="U539" s="71">
        <v>0.3</v>
      </c>
      <c r="V539" s="37">
        <f>P539*E539</f>
        <v>648.232</v>
      </c>
      <c r="W539" s="139"/>
      <c r="X539" s="139"/>
      <c r="Y539" s="139"/>
      <c r="Z539" s="139"/>
      <c r="AA539" s="139"/>
      <c r="AB539" s="139"/>
      <c r="AC539" s="139"/>
      <c r="AD539" s="139"/>
      <c r="AE539" s="139"/>
      <c r="AF539" s="140"/>
      <c r="AG539" s="140"/>
      <c r="AH539" s="140"/>
      <c r="AI539" s="140"/>
      <c r="AJ539" s="140"/>
      <c r="AK539" s="140"/>
      <c r="AL539" s="140"/>
      <c r="AM539" s="140"/>
      <c r="AN539" s="140"/>
      <c r="AO539" s="140"/>
      <c r="AP539" s="140"/>
      <c r="AQ539" s="140"/>
      <c r="AR539" s="140"/>
      <c r="AS539" s="140"/>
      <c r="AT539" s="140"/>
      <c r="AU539" s="140"/>
      <c r="AV539" s="140"/>
      <c r="AW539" s="140"/>
      <c r="AX539" s="140"/>
      <c r="AY539" s="140"/>
      <c r="AZ539" s="140"/>
      <c r="BA539" s="140"/>
      <c r="BB539" s="140"/>
      <c r="BC539" s="140"/>
      <c r="BD539" s="140"/>
      <c r="BE539" s="140"/>
    </row>
    <row r="540" s="119" customFormat="1" ht="36" customHeight="1" outlineLevel="2" spans="1:57">
      <c r="A540" s="162">
        <f>1+N(A539)</f>
        <v>3</v>
      </c>
      <c r="B540" s="14" t="s">
        <v>68</v>
      </c>
      <c r="C540" s="15" t="s">
        <v>69</v>
      </c>
      <c r="D540" s="142" t="s">
        <v>70</v>
      </c>
      <c r="E540" s="143">
        <v>11.88</v>
      </c>
      <c r="F540" s="143">
        <f>$F$10</f>
        <v>12</v>
      </c>
      <c r="G540" s="143">
        <f>$G$10</f>
        <v>19.57</v>
      </c>
      <c r="H540" s="143">
        <f>$H$10</f>
        <v>0.5</v>
      </c>
      <c r="I540" s="17">
        <f>(F540+G540+H540)*$I$3</f>
        <v>3.207</v>
      </c>
      <c r="J540" s="18">
        <f>ROUND(SUM(F540:I540),2)</f>
        <v>35.28</v>
      </c>
      <c r="K540" s="19">
        <f>ROUND(J540*E540,2)</f>
        <v>419.13</v>
      </c>
      <c r="L540" s="178"/>
      <c r="M540" s="139">
        <v>1</v>
      </c>
      <c r="N540" s="139">
        <v>380.99</v>
      </c>
      <c r="O540" s="139"/>
      <c r="P540" s="37">
        <f>Q540+Q540*R540+S540+T540+U540</f>
        <v>32.07</v>
      </c>
      <c r="Q540" s="99">
        <f>$Q$10</f>
        <v>19</v>
      </c>
      <c r="R540" s="163">
        <f>$R$10</f>
        <v>0.03</v>
      </c>
      <c r="S540" s="99">
        <f>$S$10</f>
        <v>12</v>
      </c>
      <c r="T540" s="99">
        <f>$T$10</f>
        <v>0.3</v>
      </c>
      <c r="U540" s="99">
        <f>$U$10</f>
        <v>0.2</v>
      </c>
      <c r="V540" s="37">
        <f>P540*E540</f>
        <v>380.9916</v>
      </c>
      <c r="W540" s="139"/>
      <c r="X540" s="139"/>
      <c r="Y540" s="139"/>
      <c r="Z540" s="139"/>
      <c r="AA540" s="139"/>
      <c r="AB540" s="139"/>
      <c r="AC540" s="139"/>
      <c r="AD540" s="139"/>
      <c r="AE540" s="139"/>
      <c r="AF540" s="140"/>
      <c r="AG540" s="140"/>
      <c r="AH540" s="140"/>
      <c r="AI540" s="140"/>
      <c r="AJ540" s="140"/>
      <c r="AK540" s="140"/>
      <c r="AL540" s="140"/>
      <c r="AM540" s="140"/>
      <c r="AN540" s="140"/>
      <c r="AO540" s="140"/>
      <c r="AP540" s="140"/>
      <c r="AQ540" s="140"/>
      <c r="AR540" s="140"/>
      <c r="AS540" s="140"/>
      <c r="AT540" s="140"/>
      <c r="AU540" s="140"/>
      <c r="AV540" s="140"/>
      <c r="AW540" s="140"/>
      <c r="AX540" s="140"/>
      <c r="AY540" s="140"/>
      <c r="AZ540" s="140"/>
      <c r="BA540" s="140"/>
      <c r="BB540" s="140"/>
      <c r="BC540" s="140"/>
      <c r="BD540" s="140"/>
      <c r="BE540" s="140"/>
    </row>
    <row r="541" s="119" customFormat="1" ht="48" customHeight="1" outlineLevel="2" spans="1:57">
      <c r="A541" s="162">
        <f>1+N(A540)</f>
        <v>4</v>
      </c>
      <c r="B541" s="14" t="s">
        <v>71</v>
      </c>
      <c r="C541" s="15" t="s">
        <v>72</v>
      </c>
      <c r="D541" s="142" t="s">
        <v>63</v>
      </c>
      <c r="E541" s="143">
        <v>252.64</v>
      </c>
      <c r="F541" s="143">
        <f>$F$11</f>
        <v>40</v>
      </c>
      <c r="G541" s="143">
        <f>$G$11</f>
        <v>15</v>
      </c>
      <c r="H541" s="143">
        <f>$H$11</f>
        <v>0.8</v>
      </c>
      <c r="I541" s="17">
        <f>(F541+G541+H541)*$I$3</f>
        <v>5.58</v>
      </c>
      <c r="J541" s="18">
        <f>ROUND(SUM(F541:I541),2)</f>
        <v>61.38</v>
      </c>
      <c r="K541" s="19">
        <f>ROUND(J541*E541,2)</f>
        <v>15507.04</v>
      </c>
      <c r="L541" s="178"/>
      <c r="M541" s="139">
        <v>1</v>
      </c>
      <c r="N541" s="139">
        <v>14097.31</v>
      </c>
      <c r="O541" s="139"/>
      <c r="P541" s="37">
        <f>Q541+Q541*R541+S541+T541+U541</f>
        <v>55.8</v>
      </c>
      <c r="Q541" s="99">
        <f>$Q$11</f>
        <v>15</v>
      </c>
      <c r="R541" s="163">
        <f>$R$11</f>
        <v>0</v>
      </c>
      <c r="S541" s="99">
        <f>$S$11</f>
        <v>40</v>
      </c>
      <c r="T541" s="99">
        <f>$T$11</f>
        <v>0.5</v>
      </c>
      <c r="U541" s="99">
        <f>$U$11</f>
        <v>0.3</v>
      </c>
      <c r="V541" s="37">
        <f>P541*E541</f>
        <v>14097.312</v>
      </c>
      <c r="W541" s="139"/>
      <c r="X541" s="139"/>
      <c r="Y541" s="139"/>
      <c r="Z541" s="139"/>
      <c r="AA541" s="139"/>
      <c r="AB541" s="139"/>
      <c r="AC541" s="139"/>
      <c r="AD541" s="139"/>
      <c r="AE541" s="139"/>
      <c r="AF541" s="140"/>
      <c r="AG541" s="140"/>
      <c r="AH541" s="140"/>
      <c r="AI541" s="140"/>
      <c r="AJ541" s="140"/>
      <c r="AK541" s="140"/>
      <c r="AL541" s="140"/>
      <c r="AM541" s="140"/>
      <c r="AN541" s="140"/>
      <c r="AO541" s="140"/>
      <c r="AP541" s="140"/>
      <c r="AQ541" s="140"/>
      <c r="AR541" s="140"/>
      <c r="AS541" s="140"/>
      <c r="AT541" s="140"/>
      <c r="AU541" s="140"/>
      <c r="AV541" s="140"/>
      <c r="AW541" s="140"/>
      <c r="AX541" s="140"/>
      <c r="AY541" s="140"/>
      <c r="AZ541" s="140"/>
      <c r="BA541" s="140"/>
      <c r="BB541" s="140"/>
      <c r="BC541" s="140"/>
      <c r="BD541" s="140"/>
      <c r="BE541" s="140"/>
    </row>
    <row r="542" s="119" customFormat="1" ht="24" customHeight="1" outlineLevel="1" spans="1:57">
      <c r="A542" s="141"/>
      <c r="B542" s="14" t="s">
        <v>73</v>
      </c>
      <c r="C542" s="15"/>
      <c r="D542" s="142"/>
      <c r="E542" s="143"/>
      <c r="F542" s="143"/>
      <c r="G542" s="143"/>
      <c r="H542" s="143"/>
      <c r="I542" s="143"/>
      <c r="J542" s="143"/>
      <c r="K542" s="144"/>
      <c r="L542" s="178"/>
      <c r="M542" s="139"/>
      <c r="N542" s="139"/>
      <c r="O542" s="139"/>
      <c r="P542" s="137"/>
      <c r="Q542" s="137"/>
      <c r="R542" s="138"/>
      <c r="S542" s="137"/>
      <c r="T542" s="137"/>
      <c r="U542" s="137"/>
      <c r="V542" s="137"/>
      <c r="W542" s="139"/>
      <c r="X542" s="139"/>
      <c r="Y542" s="139"/>
      <c r="Z542" s="139"/>
      <c r="AA542" s="139"/>
      <c r="AB542" s="139"/>
      <c r="AC542" s="139"/>
      <c r="AD542" s="139"/>
      <c r="AE542" s="139"/>
      <c r="AF542" s="140"/>
      <c r="AG542" s="140"/>
      <c r="AH542" s="140"/>
      <c r="AI542" s="140"/>
      <c r="AJ542" s="140"/>
      <c r="AK542" s="140"/>
      <c r="AL542" s="140"/>
      <c r="AM542" s="140"/>
      <c r="AN542" s="140"/>
      <c r="AO542" s="140"/>
      <c r="AP542" s="140"/>
      <c r="AQ542" s="140"/>
      <c r="AR542" s="140"/>
      <c r="AS542" s="140"/>
      <c r="AT542" s="140"/>
      <c r="AU542" s="140"/>
      <c r="AV542" s="140"/>
      <c r="AW542" s="140"/>
      <c r="AX542" s="140"/>
      <c r="AY542" s="140"/>
      <c r="AZ542" s="140"/>
      <c r="BA542" s="140"/>
      <c r="BB542" s="140"/>
      <c r="BC542" s="140"/>
      <c r="BD542" s="140"/>
      <c r="BE542" s="140"/>
    </row>
    <row r="543" s="119" customFormat="1" ht="96" customHeight="1" outlineLevel="2" spans="1:57">
      <c r="A543" s="162">
        <f t="shared" ref="A543:A553" si="147">1+N(A542)</f>
        <v>1</v>
      </c>
      <c r="B543" s="164" t="s">
        <v>76</v>
      </c>
      <c r="C543" s="15" t="s">
        <v>258</v>
      </c>
      <c r="D543" s="142" t="s">
        <v>63</v>
      </c>
      <c r="E543" s="143">
        <f>144.989+144.989</f>
        <v>289.978</v>
      </c>
      <c r="F543" s="143">
        <f>$F$459</f>
        <v>140</v>
      </c>
      <c r="G543" s="143">
        <f>$G$459</f>
        <v>682.5</v>
      </c>
      <c r="H543" s="143">
        <f>$H$459</f>
        <v>113.55</v>
      </c>
      <c r="I543" s="17">
        <f t="shared" ref="I543:I553" si="148">(F543+G543+H543)*$I$3</f>
        <v>93.605</v>
      </c>
      <c r="J543" s="18">
        <f t="shared" ref="J543:J553" si="149">ROUND(SUM(F543:I543),2)</f>
        <v>1029.66</v>
      </c>
      <c r="K543" s="19">
        <f t="shared" ref="K543:K553" si="150">ROUND(J543*E543,2)</f>
        <v>298578.75</v>
      </c>
      <c r="L543" s="178"/>
      <c r="M543" s="139">
        <v>1</v>
      </c>
      <c r="N543" s="139">
        <v>271433.91</v>
      </c>
      <c r="O543" s="139"/>
      <c r="P543" s="37">
        <f t="shared" ref="P543:P553" si="151">Q543+Q543*R543+S543+T543+U543</f>
        <v>936.05</v>
      </c>
      <c r="Q543" s="99">
        <f>$Q$459</f>
        <v>650</v>
      </c>
      <c r="R543" s="163">
        <f>$R$459</f>
        <v>0.05</v>
      </c>
      <c r="S543" s="99">
        <f>$S$459</f>
        <v>140</v>
      </c>
      <c r="T543" s="99">
        <f>$T$459</f>
        <v>111.75</v>
      </c>
      <c r="U543" s="99">
        <f>$U$459</f>
        <v>1.8</v>
      </c>
      <c r="V543" s="37">
        <f t="shared" ref="V543:V553" si="152">P543*E543</f>
        <v>271433.9069</v>
      </c>
      <c r="W543" s="139"/>
      <c r="X543" s="139"/>
      <c r="Y543" s="139"/>
      <c r="Z543" s="139"/>
      <c r="AA543" s="139"/>
      <c r="AB543" s="139"/>
      <c r="AC543" s="139"/>
      <c r="AD543" s="139"/>
      <c r="AE543" s="139"/>
      <c r="AF543" s="140"/>
      <c r="AG543" s="140"/>
      <c r="AH543" s="140"/>
      <c r="AI543" s="140"/>
      <c r="AJ543" s="140"/>
      <c r="AK543" s="140"/>
      <c r="AL543" s="140"/>
      <c r="AM543" s="140"/>
      <c r="AN543" s="140"/>
      <c r="AO543" s="140"/>
      <c r="AP543" s="140"/>
      <c r="AQ543" s="140"/>
      <c r="AR543" s="140"/>
      <c r="AS543" s="140"/>
      <c r="AT543" s="140"/>
      <c r="AU543" s="140"/>
      <c r="AV543" s="140"/>
      <c r="AW543" s="140"/>
      <c r="AX543" s="140"/>
      <c r="AY543" s="140"/>
      <c r="AZ543" s="140"/>
      <c r="BA543" s="140"/>
      <c r="BB543" s="140"/>
      <c r="BC543" s="140"/>
      <c r="BD543" s="140"/>
      <c r="BE543" s="140"/>
    </row>
    <row r="544" s="119" customFormat="1" ht="96" customHeight="1" outlineLevel="2" spans="1:57">
      <c r="A544" s="162">
        <f t="shared" si="147"/>
        <v>2</v>
      </c>
      <c r="B544" s="14" t="s">
        <v>78</v>
      </c>
      <c r="C544" s="15" t="s">
        <v>259</v>
      </c>
      <c r="D544" s="142" t="s">
        <v>63</v>
      </c>
      <c r="E544" s="143">
        <v>40.781</v>
      </c>
      <c r="F544" s="143">
        <f>$F$460</f>
        <v>140</v>
      </c>
      <c r="G544" s="143">
        <f>$G$460</f>
        <v>813.75</v>
      </c>
      <c r="H544" s="143">
        <f>$H$460</f>
        <v>113.55</v>
      </c>
      <c r="I544" s="17">
        <f t="shared" si="148"/>
        <v>106.73</v>
      </c>
      <c r="J544" s="18">
        <f t="shared" si="149"/>
        <v>1174.03</v>
      </c>
      <c r="K544" s="19">
        <f t="shared" si="150"/>
        <v>47878.12</v>
      </c>
      <c r="L544" s="178"/>
      <c r="M544" s="139">
        <v>1</v>
      </c>
      <c r="N544" s="139">
        <v>43525.56</v>
      </c>
      <c r="O544" s="139"/>
      <c r="P544" s="37">
        <f t="shared" si="151"/>
        <v>1067.3</v>
      </c>
      <c r="Q544" s="99">
        <f>$Q$460</f>
        <v>775</v>
      </c>
      <c r="R544" s="163">
        <f>$R$460</f>
        <v>0.05</v>
      </c>
      <c r="S544" s="99">
        <f>$S$460</f>
        <v>140</v>
      </c>
      <c r="T544" s="99">
        <f>$T$460</f>
        <v>111.75</v>
      </c>
      <c r="U544" s="99">
        <f>$U$460</f>
        <v>1.8</v>
      </c>
      <c r="V544" s="37">
        <f t="shared" si="152"/>
        <v>43525.5613</v>
      </c>
      <c r="W544" s="139"/>
      <c r="X544" s="139"/>
      <c r="Y544" s="139"/>
      <c r="Z544" s="139"/>
      <c r="AA544" s="139"/>
      <c r="AB544" s="139"/>
      <c r="AC544" s="139"/>
      <c r="AD544" s="139"/>
      <c r="AE544" s="139"/>
      <c r="AF544" s="140"/>
      <c r="AG544" s="140"/>
      <c r="AH544" s="140"/>
      <c r="AI544" s="140"/>
      <c r="AJ544" s="140"/>
      <c r="AK544" s="140"/>
      <c r="AL544" s="140"/>
      <c r="AM544" s="140"/>
      <c r="AN544" s="140"/>
      <c r="AO544" s="140"/>
      <c r="AP544" s="140"/>
      <c r="AQ544" s="140"/>
      <c r="AR544" s="140"/>
      <c r="AS544" s="140"/>
      <c r="AT544" s="140"/>
      <c r="AU544" s="140"/>
      <c r="AV544" s="140"/>
      <c r="AW544" s="140"/>
      <c r="AX544" s="140"/>
      <c r="AY544" s="140"/>
      <c r="AZ544" s="140"/>
      <c r="BA544" s="140"/>
      <c r="BB544" s="140"/>
      <c r="BC544" s="140"/>
      <c r="BD544" s="140"/>
      <c r="BE544" s="140"/>
    </row>
    <row r="545" s="119" customFormat="1" ht="60" customHeight="1" outlineLevel="2" spans="1:57">
      <c r="A545" s="145">
        <f t="shared" si="147"/>
        <v>3</v>
      </c>
      <c r="B545" s="146" t="s">
        <v>307</v>
      </c>
      <c r="C545" s="147" t="s">
        <v>308</v>
      </c>
      <c r="D545" s="148" t="s">
        <v>63</v>
      </c>
      <c r="E545" s="149">
        <v>18.757</v>
      </c>
      <c r="F545" s="149">
        <f>S545*$S$1</f>
        <v>75</v>
      </c>
      <c r="G545" s="149">
        <f>Q545*(1+R545)*$Q$1</f>
        <v>597.4</v>
      </c>
      <c r="H545" s="149">
        <f>(T545+U545)*$T$1</f>
        <v>89.95</v>
      </c>
      <c r="I545" s="150">
        <f t="shared" si="148"/>
        <v>76.235</v>
      </c>
      <c r="J545" s="151">
        <f t="shared" si="149"/>
        <v>838.59</v>
      </c>
      <c r="K545" s="152">
        <f t="shared" si="150"/>
        <v>15729.43</v>
      </c>
      <c r="L545" s="178"/>
      <c r="M545" s="139">
        <v>1</v>
      </c>
      <c r="N545" s="139">
        <v>14299.4</v>
      </c>
      <c r="O545" s="139"/>
      <c r="P545" s="37">
        <f t="shared" si="151"/>
        <v>762.35</v>
      </c>
      <c r="Q545" s="71">
        <v>580</v>
      </c>
      <c r="R545" s="157">
        <v>0.03</v>
      </c>
      <c r="S545" s="71">
        <v>75</v>
      </c>
      <c r="T545" s="71">
        <v>88.75</v>
      </c>
      <c r="U545" s="71">
        <v>1.2</v>
      </c>
      <c r="V545" s="37">
        <f t="shared" si="152"/>
        <v>14299.39895</v>
      </c>
      <c r="W545" s="139"/>
      <c r="X545" s="139"/>
      <c r="Y545" s="139"/>
      <c r="Z545" s="139"/>
      <c r="AA545" s="139"/>
      <c r="AB545" s="139"/>
      <c r="AC545" s="139"/>
      <c r="AD545" s="139"/>
      <c r="AE545" s="139"/>
      <c r="AF545" s="140"/>
      <c r="AG545" s="140"/>
      <c r="AH545" s="140"/>
      <c r="AI545" s="140"/>
      <c r="AJ545" s="140"/>
      <c r="AK545" s="140"/>
      <c r="AL545" s="140"/>
      <c r="AM545" s="140"/>
      <c r="AN545" s="140"/>
      <c r="AO545" s="140"/>
      <c r="AP545" s="140"/>
      <c r="AQ545" s="140"/>
      <c r="AR545" s="140"/>
      <c r="AS545" s="140"/>
      <c r="AT545" s="140"/>
      <c r="AU545" s="140"/>
      <c r="AV545" s="140"/>
      <c r="AW545" s="140"/>
      <c r="AX545" s="140"/>
      <c r="AY545" s="140"/>
      <c r="AZ545" s="140"/>
      <c r="BA545" s="140"/>
      <c r="BB545" s="140"/>
      <c r="BC545" s="140"/>
      <c r="BD545" s="140"/>
      <c r="BE545" s="140"/>
    </row>
    <row r="546" s="119" customFormat="1" ht="60" customHeight="1" outlineLevel="2" spans="1:57">
      <c r="A546" s="162">
        <f t="shared" si="147"/>
        <v>4</v>
      </c>
      <c r="B546" s="14" t="s">
        <v>260</v>
      </c>
      <c r="C546" s="15" t="s">
        <v>261</v>
      </c>
      <c r="D546" s="142" t="s">
        <v>63</v>
      </c>
      <c r="E546" s="143">
        <v>48.7</v>
      </c>
      <c r="F546" s="143">
        <f>$F$487</f>
        <v>75</v>
      </c>
      <c r="G546" s="143">
        <f>$G$487</f>
        <v>597.4</v>
      </c>
      <c r="H546" s="143">
        <f>$H$487</f>
        <v>124.95</v>
      </c>
      <c r="I546" s="17">
        <f t="shared" si="148"/>
        <v>79.735</v>
      </c>
      <c r="J546" s="18">
        <f t="shared" si="149"/>
        <v>877.09</v>
      </c>
      <c r="K546" s="19">
        <f t="shared" si="150"/>
        <v>42714.28</v>
      </c>
      <c r="L546" s="178"/>
      <c r="M546" s="139">
        <v>1</v>
      </c>
      <c r="N546" s="139">
        <v>38830.95</v>
      </c>
      <c r="O546" s="139"/>
      <c r="P546" s="37">
        <f t="shared" si="151"/>
        <v>797.35</v>
      </c>
      <c r="Q546" s="99">
        <f>$Q$487</f>
        <v>580</v>
      </c>
      <c r="R546" s="163">
        <f>$R$487</f>
        <v>0.03</v>
      </c>
      <c r="S546" s="99">
        <f>$S$487</f>
        <v>75</v>
      </c>
      <c r="T546" s="99">
        <f>$T$487</f>
        <v>123.75</v>
      </c>
      <c r="U546" s="99">
        <f>$U$487</f>
        <v>1.2</v>
      </c>
      <c r="V546" s="37">
        <f t="shared" si="152"/>
        <v>38830.945</v>
      </c>
      <c r="W546" s="139"/>
      <c r="X546" s="139"/>
      <c r="Y546" s="139"/>
      <c r="Z546" s="139"/>
      <c r="AA546" s="139"/>
      <c r="AB546" s="139"/>
      <c r="AC546" s="139"/>
      <c r="AD546" s="139"/>
      <c r="AE546" s="139"/>
      <c r="AF546" s="140"/>
      <c r="AG546" s="140"/>
      <c r="AH546" s="140"/>
      <c r="AI546" s="140"/>
      <c r="AJ546" s="140"/>
      <c r="AK546" s="140"/>
      <c r="AL546" s="140"/>
      <c r="AM546" s="140"/>
      <c r="AN546" s="140"/>
      <c r="AO546" s="140"/>
      <c r="AP546" s="140"/>
      <c r="AQ546" s="140"/>
      <c r="AR546" s="140"/>
      <c r="AS546" s="140"/>
      <c r="AT546" s="140"/>
      <c r="AU546" s="140"/>
      <c r="AV546" s="140"/>
      <c r="AW546" s="140"/>
      <c r="AX546" s="140"/>
      <c r="AY546" s="140"/>
      <c r="AZ546" s="140"/>
      <c r="BA546" s="140"/>
      <c r="BB546" s="140"/>
      <c r="BC546" s="140"/>
      <c r="BD546" s="140"/>
      <c r="BE546" s="140"/>
    </row>
    <row r="547" s="119" customFormat="1" ht="72" customHeight="1" outlineLevel="2" spans="1:57">
      <c r="A547" s="162">
        <f t="shared" si="147"/>
        <v>5</v>
      </c>
      <c r="B547" s="14" t="s">
        <v>172</v>
      </c>
      <c r="C547" s="15" t="s">
        <v>173</v>
      </c>
      <c r="D547" s="142" t="s">
        <v>63</v>
      </c>
      <c r="E547" s="143">
        <v>68.835</v>
      </c>
      <c r="F547" s="143">
        <f>$F$179</f>
        <v>110</v>
      </c>
      <c r="G547" s="143">
        <f>$G$179</f>
        <v>85.5</v>
      </c>
      <c r="H547" s="143">
        <f>$H$179</f>
        <v>56.797</v>
      </c>
      <c r="I547" s="17">
        <f t="shared" si="148"/>
        <v>25.2297</v>
      </c>
      <c r="J547" s="18">
        <f t="shared" si="149"/>
        <v>277.53</v>
      </c>
      <c r="K547" s="19">
        <f t="shared" si="150"/>
        <v>19103.78</v>
      </c>
      <c r="L547" s="178"/>
      <c r="M547" s="139">
        <v>1</v>
      </c>
      <c r="N547" s="139">
        <v>17367.07</v>
      </c>
      <c r="O547" s="139"/>
      <c r="P547" s="37">
        <f t="shared" si="151"/>
        <v>252.297</v>
      </c>
      <c r="Q547" s="99">
        <f>$Q$179</f>
        <v>85.5</v>
      </c>
      <c r="R547" s="163">
        <f>$R$179</f>
        <v>0</v>
      </c>
      <c r="S547" s="99">
        <f>$S$179</f>
        <v>110</v>
      </c>
      <c r="T547" s="99">
        <f>$T$179</f>
        <v>55.997</v>
      </c>
      <c r="U547" s="99">
        <f>$U$179</f>
        <v>0.8</v>
      </c>
      <c r="V547" s="37">
        <f t="shared" si="152"/>
        <v>17366.863995</v>
      </c>
      <c r="W547" s="139"/>
      <c r="X547" s="139"/>
      <c r="Y547" s="139"/>
      <c r="Z547" s="139"/>
      <c r="AA547" s="139"/>
      <c r="AB547" s="139"/>
      <c r="AC547" s="139"/>
      <c r="AD547" s="139"/>
      <c r="AE547" s="139"/>
      <c r="AF547" s="140"/>
      <c r="AG547" s="140"/>
      <c r="AH547" s="140"/>
      <c r="AI547" s="140"/>
      <c r="AJ547" s="140"/>
      <c r="AK547" s="140"/>
      <c r="AL547" s="140"/>
      <c r="AM547" s="140"/>
      <c r="AN547" s="140"/>
      <c r="AO547" s="140"/>
      <c r="AP547" s="140"/>
      <c r="AQ547" s="140"/>
      <c r="AR547" s="140"/>
      <c r="AS547" s="140"/>
      <c r="AT547" s="140"/>
      <c r="AU547" s="140"/>
      <c r="AV547" s="140"/>
      <c r="AW547" s="140"/>
      <c r="AX547" s="140"/>
      <c r="AY547" s="140"/>
      <c r="AZ547" s="140"/>
      <c r="BA547" s="140"/>
      <c r="BB547" s="140"/>
      <c r="BC547" s="140"/>
      <c r="BD547" s="140"/>
      <c r="BE547" s="140"/>
    </row>
    <row r="548" s="119" customFormat="1" ht="60" customHeight="1" outlineLevel="2" spans="1:57">
      <c r="A548" s="162">
        <f t="shared" si="147"/>
        <v>6</v>
      </c>
      <c r="B548" s="14" t="s">
        <v>174</v>
      </c>
      <c r="C548" s="15" t="s">
        <v>262</v>
      </c>
      <c r="D548" s="142" t="s">
        <v>63</v>
      </c>
      <c r="E548" s="143">
        <v>17.902</v>
      </c>
      <c r="F548" s="143">
        <f>$F$463</f>
        <v>110</v>
      </c>
      <c r="G548" s="143">
        <f>$G$463</f>
        <v>87.55</v>
      </c>
      <c r="H548" s="143">
        <f>$H$463</f>
        <v>126.35</v>
      </c>
      <c r="I548" s="17">
        <f t="shared" si="148"/>
        <v>32.39</v>
      </c>
      <c r="J548" s="18">
        <f t="shared" si="149"/>
        <v>356.29</v>
      </c>
      <c r="K548" s="19">
        <f t="shared" si="150"/>
        <v>6378.3</v>
      </c>
      <c r="L548" s="178"/>
      <c r="M548" s="139">
        <v>1</v>
      </c>
      <c r="N548" s="139">
        <v>5798.46</v>
      </c>
      <c r="O548" s="139"/>
      <c r="P548" s="37">
        <f t="shared" si="151"/>
        <v>323.9</v>
      </c>
      <c r="Q548" s="99">
        <f>$Q$463</f>
        <v>85</v>
      </c>
      <c r="R548" s="163">
        <f>$R$463</f>
        <v>0.03</v>
      </c>
      <c r="S548" s="99">
        <f>$S$463</f>
        <v>110</v>
      </c>
      <c r="T548" s="99">
        <f>$T$463</f>
        <v>125.75</v>
      </c>
      <c r="U548" s="99">
        <f>$U$463</f>
        <v>0.6</v>
      </c>
      <c r="V548" s="37">
        <f t="shared" si="152"/>
        <v>5798.4578</v>
      </c>
      <c r="W548" s="139"/>
      <c r="X548" s="139"/>
      <c r="Y548" s="139"/>
      <c r="Z548" s="139"/>
      <c r="AA548" s="139"/>
      <c r="AB548" s="139"/>
      <c r="AC548" s="139"/>
      <c r="AD548" s="139"/>
      <c r="AE548" s="139"/>
      <c r="AF548" s="140"/>
      <c r="AG548" s="140"/>
      <c r="AH548" s="140"/>
      <c r="AI548" s="140"/>
      <c r="AJ548" s="140"/>
      <c r="AK548" s="140"/>
      <c r="AL548" s="140"/>
      <c r="AM548" s="140"/>
      <c r="AN548" s="140"/>
      <c r="AO548" s="140"/>
      <c r="AP548" s="140"/>
      <c r="AQ548" s="140"/>
      <c r="AR548" s="140"/>
      <c r="AS548" s="140"/>
      <c r="AT548" s="140"/>
      <c r="AU548" s="140"/>
      <c r="AV548" s="140"/>
      <c r="AW548" s="140"/>
      <c r="AX548" s="140"/>
      <c r="AY548" s="140"/>
      <c r="AZ548" s="140"/>
      <c r="BA548" s="140"/>
      <c r="BB548" s="140"/>
      <c r="BC548" s="140"/>
      <c r="BD548" s="140"/>
      <c r="BE548" s="140"/>
    </row>
    <row r="549" s="119" customFormat="1" ht="36" customHeight="1" outlineLevel="2" spans="1:57">
      <c r="A549" s="145">
        <f t="shared" si="147"/>
        <v>7</v>
      </c>
      <c r="B549" s="146" t="s">
        <v>309</v>
      </c>
      <c r="C549" s="147" t="s">
        <v>310</v>
      </c>
      <c r="D549" s="148" t="s">
        <v>63</v>
      </c>
      <c r="E549" s="149">
        <v>11.736</v>
      </c>
      <c r="F549" s="149">
        <f>S549*$S$1</f>
        <v>89</v>
      </c>
      <c r="G549" s="149">
        <f>Q549*(1+R549)*$Q$1</f>
        <v>24500</v>
      </c>
      <c r="H549" s="149">
        <f>(T549+U549)*$T$1</f>
        <v>45.5</v>
      </c>
      <c r="I549" s="150">
        <f t="shared" si="148"/>
        <v>2463.45</v>
      </c>
      <c r="J549" s="151">
        <f t="shared" si="149"/>
        <v>27097.95</v>
      </c>
      <c r="K549" s="152">
        <f t="shared" si="150"/>
        <v>318021.54</v>
      </c>
      <c r="L549" s="178"/>
      <c r="M549" s="139">
        <v>1</v>
      </c>
      <c r="N549" s="139">
        <v>4629.85</v>
      </c>
      <c r="O549" s="139"/>
      <c r="P549" s="37">
        <f t="shared" si="151"/>
        <v>24634.5</v>
      </c>
      <c r="Q549" s="71">
        <v>24500</v>
      </c>
      <c r="R549" s="157">
        <v>0</v>
      </c>
      <c r="S549" s="71">
        <v>89</v>
      </c>
      <c r="T549" s="71">
        <v>45</v>
      </c>
      <c r="U549" s="71">
        <v>0.5</v>
      </c>
      <c r="V549" s="37">
        <f t="shared" si="152"/>
        <v>289110.492</v>
      </c>
      <c r="W549" s="139"/>
      <c r="X549" s="139"/>
      <c r="Y549" s="139"/>
      <c r="Z549" s="139"/>
      <c r="AA549" s="139"/>
      <c r="AB549" s="139"/>
      <c r="AC549" s="139"/>
      <c r="AD549" s="139"/>
      <c r="AE549" s="139"/>
      <c r="AF549" s="140"/>
      <c r="AG549" s="140"/>
      <c r="AH549" s="140"/>
      <c r="AI549" s="140"/>
      <c r="AJ549" s="140"/>
      <c r="AK549" s="140"/>
      <c r="AL549" s="140"/>
      <c r="AM549" s="140"/>
      <c r="AN549" s="140"/>
      <c r="AO549" s="140"/>
      <c r="AP549" s="140"/>
      <c r="AQ549" s="140"/>
      <c r="AR549" s="140"/>
      <c r="AS549" s="140"/>
      <c r="AT549" s="140"/>
      <c r="AU549" s="140"/>
      <c r="AV549" s="140"/>
      <c r="AW549" s="140"/>
      <c r="AX549" s="140"/>
      <c r="AY549" s="140"/>
      <c r="AZ549" s="140"/>
      <c r="BA549" s="140"/>
      <c r="BB549" s="140"/>
      <c r="BC549" s="140"/>
      <c r="BD549" s="140"/>
      <c r="BE549" s="140"/>
    </row>
    <row r="550" s="119" customFormat="1" ht="48" customHeight="1" outlineLevel="2" spans="1:57">
      <c r="A550" s="162">
        <f t="shared" si="147"/>
        <v>8</v>
      </c>
      <c r="B550" s="14" t="s">
        <v>91</v>
      </c>
      <c r="C550" s="15" t="s">
        <v>92</v>
      </c>
      <c r="D550" s="142" t="s">
        <v>70</v>
      </c>
      <c r="E550" s="143">
        <v>126.524</v>
      </c>
      <c r="F550" s="143">
        <f>$F$22</f>
        <v>12</v>
      </c>
      <c r="G550" s="143">
        <f>$G$22</f>
        <v>25.75</v>
      </c>
      <c r="H550" s="143">
        <f>$H$22</f>
        <v>3.8</v>
      </c>
      <c r="I550" s="17">
        <f t="shared" si="148"/>
        <v>4.155</v>
      </c>
      <c r="J550" s="18">
        <f t="shared" si="149"/>
        <v>45.71</v>
      </c>
      <c r="K550" s="19">
        <f t="shared" si="150"/>
        <v>5783.41</v>
      </c>
      <c r="L550" s="178"/>
      <c r="M550" s="139">
        <v>1</v>
      </c>
      <c r="N550" s="139">
        <v>5257.07</v>
      </c>
      <c r="O550" s="139"/>
      <c r="P550" s="37">
        <f t="shared" si="151"/>
        <v>41.55</v>
      </c>
      <c r="Q550" s="99">
        <f>$Q$22</f>
        <v>25</v>
      </c>
      <c r="R550" s="163">
        <f>$R$22</f>
        <v>0.03</v>
      </c>
      <c r="S550" s="99">
        <f>$S$22</f>
        <v>12</v>
      </c>
      <c r="T550" s="99">
        <f>$T$22</f>
        <v>3.5</v>
      </c>
      <c r="U550" s="99">
        <f>$U$22</f>
        <v>0.3</v>
      </c>
      <c r="V550" s="37">
        <f t="shared" si="152"/>
        <v>5257.0722</v>
      </c>
      <c r="W550" s="139"/>
      <c r="X550" s="139"/>
      <c r="Y550" s="139"/>
      <c r="Z550" s="139"/>
      <c r="AA550" s="139"/>
      <c r="AB550" s="139"/>
      <c r="AC550" s="139"/>
      <c r="AD550" s="139"/>
      <c r="AE550" s="139"/>
      <c r="AF550" s="140"/>
      <c r="AG550" s="140"/>
      <c r="AH550" s="140"/>
      <c r="AI550" s="140"/>
      <c r="AJ550" s="140"/>
      <c r="AK550" s="140"/>
      <c r="AL550" s="140"/>
      <c r="AM550" s="140"/>
      <c r="AN550" s="140"/>
      <c r="AO550" s="140"/>
      <c r="AP550" s="140"/>
      <c r="AQ550" s="140"/>
      <c r="AR550" s="140"/>
      <c r="AS550" s="140"/>
      <c r="AT550" s="140"/>
      <c r="AU550" s="140"/>
      <c r="AV550" s="140"/>
      <c r="AW550" s="140"/>
      <c r="AX550" s="140"/>
      <c r="AY550" s="140"/>
      <c r="AZ550" s="140"/>
      <c r="BA550" s="140"/>
      <c r="BB550" s="140"/>
      <c r="BC550" s="140"/>
      <c r="BD550" s="140"/>
      <c r="BE550" s="140"/>
    </row>
    <row r="551" s="119" customFormat="1" ht="36" customHeight="1" outlineLevel="2" spans="1:57">
      <c r="A551" s="145">
        <f t="shared" si="147"/>
        <v>9</v>
      </c>
      <c r="B551" s="146" t="s">
        <v>311</v>
      </c>
      <c r="C551" s="147" t="s">
        <v>312</v>
      </c>
      <c r="D551" s="148" t="s">
        <v>70</v>
      </c>
      <c r="E551" s="149">
        <v>13.46</v>
      </c>
      <c r="F551" s="149">
        <f>S551*$S$1</f>
        <v>15</v>
      </c>
      <c r="G551" s="149">
        <f>Q551*(1+R551)*$Q$1</f>
        <v>30.385</v>
      </c>
      <c r="H551" s="149">
        <f>(T551+U551)*$T$1</f>
        <v>3.8</v>
      </c>
      <c r="I551" s="150">
        <f t="shared" si="148"/>
        <v>4.9185</v>
      </c>
      <c r="J551" s="151">
        <f t="shared" si="149"/>
        <v>54.1</v>
      </c>
      <c r="K551" s="152">
        <f t="shared" si="150"/>
        <v>728.19</v>
      </c>
      <c r="L551" s="178"/>
      <c r="M551" s="139">
        <v>1</v>
      </c>
      <c r="N551" s="139">
        <v>662.1</v>
      </c>
      <c r="O551" s="139"/>
      <c r="P551" s="37">
        <f t="shared" si="151"/>
        <v>49.185</v>
      </c>
      <c r="Q551" s="71">
        <v>29.5</v>
      </c>
      <c r="R551" s="157">
        <v>0.03</v>
      </c>
      <c r="S551" s="71">
        <v>15</v>
      </c>
      <c r="T551" s="71">
        <v>3.5</v>
      </c>
      <c r="U551" s="71">
        <v>0.3</v>
      </c>
      <c r="V551" s="37">
        <f t="shared" si="152"/>
        <v>662.0301</v>
      </c>
      <c r="W551" s="139"/>
      <c r="X551" s="139"/>
      <c r="Y551" s="139"/>
      <c r="Z551" s="139"/>
      <c r="AA551" s="139"/>
      <c r="AB551" s="139"/>
      <c r="AC551" s="139"/>
      <c r="AD551" s="139"/>
      <c r="AE551" s="139"/>
      <c r="AF551" s="140"/>
      <c r="AG551" s="140"/>
      <c r="AH551" s="140"/>
      <c r="AI551" s="140"/>
      <c r="AJ551" s="140"/>
      <c r="AK551" s="140"/>
      <c r="AL551" s="140"/>
      <c r="AM551" s="140"/>
      <c r="AN551" s="140"/>
      <c r="AO551" s="140"/>
      <c r="AP551" s="140"/>
      <c r="AQ551" s="140"/>
      <c r="AR551" s="140"/>
      <c r="AS551" s="140"/>
      <c r="AT551" s="140"/>
      <c r="AU551" s="140"/>
      <c r="AV551" s="140"/>
      <c r="AW551" s="140"/>
      <c r="AX551" s="140"/>
      <c r="AY551" s="140"/>
      <c r="AZ551" s="140"/>
      <c r="BA551" s="140"/>
      <c r="BB551" s="140"/>
      <c r="BC551" s="140"/>
      <c r="BD551" s="140"/>
      <c r="BE551" s="140"/>
    </row>
    <row r="552" s="119" customFormat="1" ht="48" customHeight="1" outlineLevel="2" spans="1:57">
      <c r="A552" s="145">
        <f t="shared" si="147"/>
        <v>10</v>
      </c>
      <c r="B552" s="146" t="s">
        <v>313</v>
      </c>
      <c r="C552" s="147" t="s">
        <v>314</v>
      </c>
      <c r="D552" s="148" t="s">
        <v>70</v>
      </c>
      <c r="E552" s="149">
        <v>5.57</v>
      </c>
      <c r="F552" s="149">
        <f>S552*$S$1</f>
        <v>25</v>
      </c>
      <c r="G552" s="149">
        <f>Q552*(1+R552)*$Q$1</f>
        <v>53.56</v>
      </c>
      <c r="H552" s="149">
        <f>(T552+U552)*$T$1</f>
        <v>3.8</v>
      </c>
      <c r="I552" s="150">
        <f t="shared" si="148"/>
        <v>8.236</v>
      </c>
      <c r="J552" s="151">
        <f t="shared" si="149"/>
        <v>90.6</v>
      </c>
      <c r="K552" s="152">
        <f t="shared" si="150"/>
        <v>504.64</v>
      </c>
      <c r="L552" s="178"/>
      <c r="M552" s="139">
        <v>1</v>
      </c>
      <c r="N552" s="139">
        <v>458.75</v>
      </c>
      <c r="O552" s="139"/>
      <c r="P552" s="37">
        <f t="shared" si="151"/>
        <v>82.36</v>
      </c>
      <c r="Q552" s="71">
        <v>52</v>
      </c>
      <c r="R552" s="157">
        <v>0.03</v>
      </c>
      <c r="S552" s="71">
        <v>25</v>
      </c>
      <c r="T552" s="71">
        <v>3.5</v>
      </c>
      <c r="U552" s="71">
        <v>0.3</v>
      </c>
      <c r="V552" s="37">
        <f t="shared" si="152"/>
        <v>458.7452</v>
      </c>
      <c r="W552" s="139"/>
      <c r="X552" s="139"/>
      <c r="Y552" s="139"/>
      <c r="Z552" s="139"/>
      <c r="AA552" s="139"/>
      <c r="AB552" s="139"/>
      <c r="AC552" s="139"/>
      <c r="AD552" s="139"/>
      <c r="AE552" s="139"/>
      <c r="AF552" s="140"/>
      <c r="AG552" s="140"/>
      <c r="AH552" s="140"/>
      <c r="AI552" s="140"/>
      <c r="AJ552" s="140"/>
      <c r="AK552" s="140"/>
      <c r="AL552" s="140"/>
      <c r="AM552" s="140"/>
      <c r="AN552" s="140"/>
      <c r="AO552" s="140"/>
      <c r="AP552" s="140"/>
      <c r="AQ552" s="140"/>
      <c r="AR552" s="140"/>
      <c r="AS552" s="140"/>
      <c r="AT552" s="140"/>
      <c r="AU552" s="140"/>
      <c r="AV552" s="140"/>
      <c r="AW552" s="140"/>
      <c r="AX552" s="140"/>
      <c r="AY552" s="140"/>
      <c r="AZ552" s="140"/>
      <c r="BA552" s="140"/>
      <c r="BB552" s="140"/>
      <c r="BC552" s="140"/>
      <c r="BD552" s="140"/>
      <c r="BE552" s="140"/>
    </row>
    <row r="553" s="119" customFormat="1" ht="36" customHeight="1" outlineLevel="2" spans="1:57">
      <c r="A553" s="162">
        <f t="shared" si="147"/>
        <v>11</v>
      </c>
      <c r="B553" s="14" t="s">
        <v>239</v>
      </c>
      <c r="C553" s="15" t="s">
        <v>240</v>
      </c>
      <c r="D553" s="165" t="s">
        <v>63</v>
      </c>
      <c r="E553" s="143">
        <f>((2+1.95)*2*1.15*2.55*3+2.35*(1.45+2.75)*2)*0.095</f>
        <v>8.47782375</v>
      </c>
      <c r="F553" s="143">
        <f>$F$356</f>
        <v>110</v>
      </c>
      <c r="G553" s="143">
        <f>$G$356</f>
        <v>454.5</v>
      </c>
      <c r="H553" s="143">
        <f>$H$356</f>
        <v>55.2</v>
      </c>
      <c r="I553" s="17">
        <f t="shared" si="148"/>
        <v>61.97</v>
      </c>
      <c r="J553" s="18">
        <f t="shared" si="149"/>
        <v>681.67</v>
      </c>
      <c r="K553" s="19">
        <f t="shared" si="150"/>
        <v>5779.08</v>
      </c>
      <c r="L553" s="178"/>
      <c r="M553" s="139">
        <v>1</v>
      </c>
      <c r="N553" s="139">
        <v>5253.71</v>
      </c>
      <c r="O553" s="139"/>
      <c r="P553" s="37">
        <f t="shared" si="151"/>
        <v>619.7</v>
      </c>
      <c r="Q553" s="99">
        <f>$Q$356</f>
        <v>450</v>
      </c>
      <c r="R553" s="163">
        <f>$R$356</f>
        <v>0.01</v>
      </c>
      <c r="S553" s="99">
        <f>$S$356</f>
        <v>110</v>
      </c>
      <c r="T553" s="99">
        <f>$T$356</f>
        <v>54</v>
      </c>
      <c r="U553" s="99">
        <f>$U$356</f>
        <v>1.2</v>
      </c>
      <c r="V553" s="37">
        <f t="shared" si="152"/>
        <v>5253.707377875</v>
      </c>
      <c r="W553" s="139"/>
      <c r="X553" s="139"/>
      <c r="Y553" s="139"/>
      <c r="Z553" s="139"/>
      <c r="AA553" s="139"/>
      <c r="AB553" s="139"/>
      <c r="AC553" s="139"/>
      <c r="AD553" s="139"/>
      <c r="AE553" s="139"/>
      <c r="AF553" s="140"/>
      <c r="AG553" s="140"/>
      <c r="AH553" s="140"/>
      <c r="AI553" s="140"/>
      <c r="AJ553" s="140"/>
      <c r="AK553" s="140"/>
      <c r="AL553" s="140"/>
      <c r="AM553" s="140"/>
      <c r="AN553" s="140"/>
      <c r="AO553" s="140"/>
      <c r="AP553" s="140"/>
      <c r="AQ553" s="140"/>
      <c r="AR553" s="140"/>
      <c r="AS553" s="140"/>
      <c r="AT553" s="140"/>
      <c r="AU553" s="140"/>
      <c r="AV553" s="140"/>
      <c r="AW553" s="140"/>
      <c r="AX553" s="140"/>
      <c r="AY553" s="140"/>
      <c r="AZ553" s="140"/>
      <c r="BA553" s="140"/>
      <c r="BB553" s="140"/>
      <c r="BC553" s="140"/>
      <c r="BD553" s="140"/>
      <c r="BE553" s="140"/>
    </row>
    <row r="554" s="119" customFormat="1" ht="24" customHeight="1" outlineLevel="1" spans="1:57">
      <c r="A554" s="141"/>
      <c r="B554" s="14" t="s">
        <v>101</v>
      </c>
      <c r="C554" s="15"/>
      <c r="D554" s="142"/>
      <c r="E554" s="143"/>
      <c r="F554" s="143"/>
      <c r="G554" s="143"/>
      <c r="H554" s="143"/>
      <c r="I554" s="143"/>
      <c r="J554" s="143"/>
      <c r="K554" s="144"/>
      <c r="L554" s="178"/>
      <c r="M554" s="139"/>
      <c r="N554" s="139"/>
      <c r="O554" s="139"/>
      <c r="P554" s="137"/>
      <c r="Q554" s="137"/>
      <c r="R554" s="138"/>
      <c r="S554" s="137"/>
      <c r="T554" s="137"/>
      <c r="U554" s="137"/>
      <c r="V554" s="137"/>
      <c r="W554" s="139"/>
      <c r="X554" s="139"/>
      <c r="Y554" s="139"/>
      <c r="Z554" s="139"/>
      <c r="AA554" s="139"/>
      <c r="AB554" s="139"/>
      <c r="AC554" s="139"/>
      <c r="AD554" s="139"/>
      <c r="AE554" s="139"/>
      <c r="AF554" s="140"/>
      <c r="AG554" s="140"/>
      <c r="AH554" s="140"/>
      <c r="AI554" s="140"/>
      <c r="AJ554" s="140"/>
      <c r="AK554" s="140"/>
      <c r="AL554" s="140"/>
      <c r="AM554" s="140"/>
      <c r="AN554" s="140"/>
      <c r="AO554" s="140"/>
      <c r="AP554" s="140"/>
      <c r="AQ554" s="140"/>
      <c r="AR554" s="140"/>
      <c r="AS554" s="140"/>
      <c r="AT554" s="140"/>
      <c r="AU554" s="140"/>
      <c r="AV554" s="140"/>
      <c r="AW554" s="140"/>
      <c r="AX554" s="140"/>
      <c r="AY554" s="140"/>
      <c r="AZ554" s="140"/>
      <c r="BA554" s="140"/>
      <c r="BB554" s="140"/>
      <c r="BC554" s="140"/>
      <c r="BD554" s="140"/>
      <c r="BE554" s="140"/>
    </row>
    <row r="555" s="119" customFormat="1" ht="96" customHeight="1" outlineLevel="2" spans="1:57">
      <c r="A555" s="162">
        <f t="shared" ref="A555:A563" si="153">1+N(A554)</f>
        <v>1</v>
      </c>
      <c r="B555" s="14" t="s">
        <v>102</v>
      </c>
      <c r="C555" s="167" t="s">
        <v>103</v>
      </c>
      <c r="D555" s="142" t="s">
        <v>63</v>
      </c>
      <c r="E555" s="143">
        <f>263.48-62.59-15</f>
        <v>185.89</v>
      </c>
      <c r="F555" s="143">
        <f>$F$28</f>
        <v>70</v>
      </c>
      <c r="G555" s="143">
        <f>$G$28</f>
        <v>0</v>
      </c>
      <c r="H555" s="143">
        <f>$H$28</f>
        <v>66.711</v>
      </c>
      <c r="I555" s="17">
        <f t="shared" ref="I555:I563" si="154">(F555+G555+H555)*$I$3</f>
        <v>13.6711</v>
      </c>
      <c r="J555" s="18">
        <f t="shared" ref="J555:J563" si="155">ROUND(SUM(F555:I555),2)</f>
        <v>150.38</v>
      </c>
      <c r="K555" s="19">
        <f t="shared" ref="K555:K563" si="156">ROUND(J555*E555,2)</f>
        <v>27954.14</v>
      </c>
      <c r="L555" s="178"/>
      <c r="M555" s="139">
        <v>1</v>
      </c>
      <c r="N555" s="139">
        <v>25413.02</v>
      </c>
      <c r="O555" s="139"/>
      <c r="P555" s="37">
        <f t="shared" ref="P555:P563" si="157">Q555+Q555*R555+S555+T555+U555</f>
        <v>136.711</v>
      </c>
      <c r="Q555" s="99">
        <f>$Q$28</f>
        <v>0</v>
      </c>
      <c r="R555" s="163">
        <f>$R$28</f>
        <v>0.01</v>
      </c>
      <c r="S555" s="99">
        <f>$S$28</f>
        <v>70</v>
      </c>
      <c r="T555" s="99">
        <f>$T$28</f>
        <v>64.711</v>
      </c>
      <c r="U555" s="99">
        <f>$U$28</f>
        <v>2</v>
      </c>
      <c r="V555" s="37">
        <f t="shared" ref="V555:V563" si="158">P555*E555</f>
        <v>25413.20779</v>
      </c>
      <c r="W555" s="139"/>
      <c r="X555" s="139"/>
      <c r="Y555" s="139"/>
      <c r="Z555" s="139"/>
      <c r="AA555" s="139"/>
      <c r="AB555" s="139"/>
      <c r="AC555" s="139"/>
      <c r="AD555" s="139"/>
      <c r="AE555" s="139"/>
      <c r="AF555" s="140"/>
      <c r="AG555" s="140"/>
      <c r="AH555" s="140"/>
      <c r="AI555" s="140"/>
      <c r="AJ555" s="140"/>
      <c r="AK555" s="140"/>
      <c r="AL555" s="140"/>
      <c r="AM555" s="140"/>
      <c r="AN555" s="140"/>
      <c r="AO555" s="140"/>
      <c r="AP555" s="140"/>
      <c r="AQ555" s="140"/>
      <c r="AR555" s="140"/>
      <c r="AS555" s="140"/>
      <c r="AT555" s="140"/>
      <c r="AU555" s="140"/>
      <c r="AV555" s="140"/>
      <c r="AW555" s="140"/>
      <c r="AX555" s="140"/>
      <c r="AY555" s="140"/>
      <c r="AZ555" s="140"/>
      <c r="BA555" s="140"/>
      <c r="BB555" s="140"/>
      <c r="BC555" s="140"/>
      <c r="BD555" s="140"/>
      <c r="BE555" s="140"/>
    </row>
    <row r="556" s="119" customFormat="1" ht="96" customHeight="1" outlineLevel="2" spans="1:57">
      <c r="A556" s="145">
        <f t="shared" si="153"/>
        <v>2</v>
      </c>
      <c r="B556" s="146" t="s">
        <v>315</v>
      </c>
      <c r="C556" s="161" t="s">
        <v>316</v>
      </c>
      <c r="D556" s="148" t="s">
        <v>63</v>
      </c>
      <c r="E556" s="149">
        <v>62.59</v>
      </c>
      <c r="F556" s="149">
        <f>S556*$S$1</f>
        <v>150</v>
      </c>
      <c r="G556" s="149">
        <f>Q556*(1+R556)*$Q$1</f>
        <v>0</v>
      </c>
      <c r="H556" s="149">
        <f>(T556+U556)*$T$1</f>
        <v>100.5665</v>
      </c>
      <c r="I556" s="150">
        <f t="shared" si="154"/>
        <v>25.05665</v>
      </c>
      <c r="J556" s="151">
        <f t="shared" si="155"/>
        <v>275.62</v>
      </c>
      <c r="K556" s="152">
        <f t="shared" si="156"/>
        <v>17251.06</v>
      </c>
      <c r="L556" s="178"/>
      <c r="M556" s="139">
        <v>1</v>
      </c>
      <c r="N556" s="139">
        <v>15683.18</v>
      </c>
      <c r="O556" s="139"/>
      <c r="P556" s="37">
        <f t="shared" si="157"/>
        <v>250.5665</v>
      </c>
      <c r="Q556" s="71">
        <v>0</v>
      </c>
      <c r="R556" s="157">
        <v>0.01</v>
      </c>
      <c r="S556" s="71">
        <v>150</v>
      </c>
      <c r="T556" s="71">
        <v>97.0665</v>
      </c>
      <c r="U556" s="71">
        <v>3.5</v>
      </c>
      <c r="V556" s="37">
        <f t="shared" si="158"/>
        <v>15682.957235</v>
      </c>
      <c r="W556" s="139"/>
      <c r="X556" s="139"/>
      <c r="Y556" s="139"/>
      <c r="Z556" s="139"/>
      <c r="AA556" s="139"/>
      <c r="AB556" s="139"/>
      <c r="AC556" s="139"/>
      <c r="AD556" s="139"/>
      <c r="AE556" s="139"/>
      <c r="AF556" s="140"/>
      <c r="AG556" s="140"/>
      <c r="AH556" s="140"/>
      <c r="AI556" s="140"/>
      <c r="AJ556" s="140"/>
      <c r="AK556" s="140"/>
      <c r="AL556" s="140"/>
      <c r="AM556" s="140"/>
      <c r="AN556" s="140"/>
      <c r="AO556" s="140"/>
      <c r="AP556" s="140"/>
      <c r="AQ556" s="140"/>
      <c r="AR556" s="140"/>
      <c r="AS556" s="140"/>
      <c r="AT556" s="140"/>
      <c r="AU556" s="140"/>
      <c r="AV556" s="140"/>
      <c r="AW556" s="140"/>
      <c r="AX556" s="140"/>
      <c r="AY556" s="140"/>
      <c r="AZ556" s="140"/>
      <c r="BA556" s="140"/>
      <c r="BB556" s="140"/>
      <c r="BC556" s="140"/>
      <c r="BD556" s="140"/>
      <c r="BE556" s="140"/>
    </row>
    <row r="557" s="119" customFormat="1" ht="72" customHeight="1" outlineLevel="2" spans="1:57">
      <c r="A557" s="162">
        <f t="shared" si="153"/>
        <v>3</v>
      </c>
      <c r="B557" s="14" t="s">
        <v>266</v>
      </c>
      <c r="C557" s="167" t="s">
        <v>267</v>
      </c>
      <c r="D557" s="142" t="s">
        <v>63</v>
      </c>
      <c r="E557" s="143">
        <v>15</v>
      </c>
      <c r="F557" s="143">
        <f>$F$469</f>
        <v>75</v>
      </c>
      <c r="G557" s="143">
        <f>$G$469</f>
        <v>330</v>
      </c>
      <c r="H557" s="143">
        <f>$H$469</f>
        <v>28</v>
      </c>
      <c r="I557" s="17">
        <f t="shared" si="154"/>
        <v>43.3</v>
      </c>
      <c r="J557" s="18">
        <f t="shared" si="155"/>
        <v>476.3</v>
      </c>
      <c r="K557" s="19">
        <f t="shared" si="156"/>
        <v>7144.5</v>
      </c>
      <c r="L557" s="178"/>
      <c r="M557" s="139">
        <v>1</v>
      </c>
      <c r="N557" s="139">
        <v>6495</v>
      </c>
      <c r="O557" s="139"/>
      <c r="P557" s="37">
        <f t="shared" si="157"/>
        <v>433</v>
      </c>
      <c r="Q557" s="99">
        <f>$Q$469</f>
        <v>330</v>
      </c>
      <c r="R557" s="163">
        <f>$R$469</f>
        <v>0</v>
      </c>
      <c r="S557" s="99">
        <f>$S$469</f>
        <v>75</v>
      </c>
      <c r="T557" s="99">
        <f>$T$469</f>
        <v>25</v>
      </c>
      <c r="U557" s="99">
        <f>$U$469</f>
        <v>3</v>
      </c>
      <c r="V557" s="37">
        <f t="shared" si="158"/>
        <v>6495</v>
      </c>
      <c r="W557" s="139"/>
      <c r="X557" s="139"/>
      <c r="Y557" s="139"/>
      <c r="Z557" s="139"/>
      <c r="AA557" s="139"/>
      <c r="AB557" s="139"/>
      <c r="AC557" s="139"/>
      <c r="AD557" s="139"/>
      <c r="AE557" s="139"/>
      <c r="AF557" s="140"/>
      <c r="AG557" s="140"/>
      <c r="AH557" s="140"/>
      <c r="AI557" s="140"/>
      <c r="AJ557" s="140"/>
      <c r="AK557" s="140"/>
      <c r="AL557" s="140"/>
      <c r="AM557" s="140"/>
      <c r="AN557" s="140"/>
      <c r="AO557" s="140"/>
      <c r="AP557" s="140"/>
      <c r="AQ557" s="140"/>
      <c r="AR557" s="140"/>
      <c r="AS557" s="140"/>
      <c r="AT557" s="140"/>
      <c r="AU557" s="140"/>
      <c r="AV557" s="140"/>
      <c r="AW557" s="140"/>
      <c r="AX557" s="140"/>
      <c r="AY557" s="140"/>
      <c r="AZ557" s="140"/>
      <c r="BA557" s="140"/>
      <c r="BB557" s="140"/>
      <c r="BC557" s="140"/>
      <c r="BD557" s="140"/>
      <c r="BE557" s="140"/>
    </row>
    <row r="558" s="119" customFormat="1" ht="72" customHeight="1" outlineLevel="2" spans="1:57">
      <c r="A558" s="162">
        <f t="shared" si="153"/>
        <v>4</v>
      </c>
      <c r="B558" s="14" t="s">
        <v>104</v>
      </c>
      <c r="C558" s="15" t="s">
        <v>105</v>
      </c>
      <c r="D558" s="142" t="s">
        <v>70</v>
      </c>
      <c r="E558" s="143">
        <v>52.4</v>
      </c>
      <c r="F558" s="143">
        <f>$F$29</f>
        <v>50</v>
      </c>
      <c r="G558" s="143">
        <f>$G$29</f>
        <v>0</v>
      </c>
      <c r="H558" s="143">
        <f>$H$29</f>
        <v>22.0941</v>
      </c>
      <c r="I558" s="17">
        <f t="shared" si="154"/>
        <v>7.20941</v>
      </c>
      <c r="J558" s="18">
        <f t="shared" si="155"/>
        <v>79.3</v>
      </c>
      <c r="K558" s="19">
        <f t="shared" si="156"/>
        <v>4155.32</v>
      </c>
      <c r="L558" s="178"/>
      <c r="M558" s="139">
        <v>1</v>
      </c>
      <c r="N558" s="139">
        <v>3777.52</v>
      </c>
      <c r="O558" s="139"/>
      <c r="P558" s="37">
        <f t="shared" si="157"/>
        <v>72.0941</v>
      </c>
      <c r="Q558" s="99">
        <f>$Q$29</f>
        <v>0</v>
      </c>
      <c r="R558" s="163">
        <f>$R$29</f>
        <v>0.01</v>
      </c>
      <c r="S558" s="99">
        <f>$S$29</f>
        <v>50</v>
      </c>
      <c r="T558" s="99">
        <f>$T$29</f>
        <v>22.0941</v>
      </c>
      <c r="U558" s="99">
        <f>$U$29</f>
        <v>0</v>
      </c>
      <c r="V558" s="37">
        <f t="shared" si="158"/>
        <v>3777.73084</v>
      </c>
      <c r="W558" s="139"/>
      <c r="X558" s="139"/>
      <c r="Y558" s="139"/>
      <c r="Z558" s="139"/>
      <c r="AA558" s="139"/>
      <c r="AB558" s="139"/>
      <c r="AC558" s="139"/>
      <c r="AD558" s="139"/>
      <c r="AE558" s="139"/>
      <c r="AF558" s="140"/>
      <c r="AG558" s="140"/>
      <c r="AH558" s="140"/>
      <c r="AI558" s="140"/>
      <c r="AJ558" s="140"/>
      <c r="AK558" s="140"/>
      <c r="AL558" s="140"/>
      <c r="AM558" s="140"/>
      <c r="AN558" s="140"/>
      <c r="AO558" s="140"/>
      <c r="AP558" s="140"/>
      <c r="AQ558" s="140"/>
      <c r="AR558" s="140"/>
      <c r="AS558" s="140"/>
      <c r="AT558" s="140"/>
      <c r="AU558" s="140"/>
      <c r="AV558" s="140"/>
      <c r="AW558" s="140"/>
      <c r="AX558" s="140"/>
      <c r="AY558" s="140"/>
      <c r="AZ558" s="140"/>
      <c r="BA558" s="140"/>
      <c r="BB558" s="140"/>
      <c r="BC558" s="140"/>
      <c r="BD558" s="140"/>
      <c r="BE558" s="140"/>
    </row>
    <row r="559" s="119" customFormat="1" ht="72" customHeight="1" outlineLevel="2" spans="1:57">
      <c r="A559" s="162">
        <f t="shared" si="153"/>
        <v>5</v>
      </c>
      <c r="B559" s="14" t="s">
        <v>106</v>
      </c>
      <c r="C559" s="15" t="s">
        <v>107</v>
      </c>
      <c r="D559" s="142" t="s">
        <v>70</v>
      </c>
      <c r="E559" s="143">
        <v>52.4</v>
      </c>
      <c r="F559" s="143">
        <f>$F$30</f>
        <v>18</v>
      </c>
      <c r="G559" s="143">
        <f>$G$30</f>
        <v>163.255</v>
      </c>
      <c r="H559" s="143">
        <f>$H$30</f>
        <v>3.8</v>
      </c>
      <c r="I559" s="17">
        <f t="shared" si="154"/>
        <v>18.5055</v>
      </c>
      <c r="J559" s="18">
        <f t="shared" si="155"/>
        <v>203.56</v>
      </c>
      <c r="K559" s="19">
        <f t="shared" si="156"/>
        <v>10666.54</v>
      </c>
      <c r="L559" s="178"/>
      <c r="M559" s="139">
        <v>1</v>
      </c>
      <c r="N559" s="139">
        <v>9697.14</v>
      </c>
      <c r="O559" s="139"/>
      <c r="P559" s="37">
        <f t="shared" si="157"/>
        <v>185.055</v>
      </c>
      <c r="Q559" s="99">
        <f>$Q$30</f>
        <v>158.5</v>
      </c>
      <c r="R559" s="163">
        <f>$R$30</f>
        <v>0.03</v>
      </c>
      <c r="S559" s="99">
        <f>$S$30</f>
        <v>18</v>
      </c>
      <c r="T559" s="99">
        <f>$T$30</f>
        <v>3.5</v>
      </c>
      <c r="U559" s="99">
        <f>$U$30</f>
        <v>0.3</v>
      </c>
      <c r="V559" s="37">
        <f t="shared" si="158"/>
        <v>9696.882</v>
      </c>
      <c r="W559" s="139"/>
      <c r="X559" s="139"/>
      <c r="Y559" s="139"/>
      <c r="Z559" s="139"/>
      <c r="AA559" s="139"/>
      <c r="AB559" s="139"/>
      <c r="AC559" s="139"/>
      <c r="AD559" s="139"/>
      <c r="AE559" s="139"/>
      <c r="AF559" s="140"/>
      <c r="AG559" s="140"/>
      <c r="AH559" s="140"/>
      <c r="AI559" s="140"/>
      <c r="AJ559" s="140"/>
      <c r="AK559" s="140"/>
      <c r="AL559" s="140"/>
      <c r="AM559" s="140"/>
      <c r="AN559" s="140"/>
      <c r="AO559" s="140"/>
      <c r="AP559" s="140"/>
      <c r="AQ559" s="140"/>
      <c r="AR559" s="140"/>
      <c r="AS559" s="140"/>
      <c r="AT559" s="140"/>
      <c r="AU559" s="140"/>
      <c r="AV559" s="140"/>
      <c r="AW559" s="140"/>
      <c r="AX559" s="140"/>
      <c r="AY559" s="140"/>
      <c r="AZ559" s="140"/>
      <c r="BA559" s="140"/>
      <c r="BB559" s="140"/>
      <c r="BC559" s="140"/>
      <c r="BD559" s="140"/>
      <c r="BE559" s="140"/>
    </row>
    <row r="560" s="119" customFormat="1" ht="72" customHeight="1" outlineLevel="2" spans="1:57">
      <c r="A560" s="162">
        <f t="shared" si="153"/>
        <v>6</v>
      </c>
      <c r="B560" s="14" t="s">
        <v>268</v>
      </c>
      <c r="C560" s="15" t="s">
        <v>269</v>
      </c>
      <c r="D560" s="142" t="s">
        <v>70</v>
      </c>
      <c r="E560" s="143">
        <v>17.4</v>
      </c>
      <c r="F560" s="143">
        <f>$F$472</f>
        <v>55</v>
      </c>
      <c r="G560" s="143">
        <f>$G$472</f>
        <v>0</v>
      </c>
      <c r="H560" s="143">
        <f>$H$472</f>
        <v>29.6688</v>
      </c>
      <c r="I560" s="17">
        <f t="shared" si="154"/>
        <v>8.46688</v>
      </c>
      <c r="J560" s="18">
        <f t="shared" si="155"/>
        <v>93.14</v>
      </c>
      <c r="K560" s="19">
        <f t="shared" si="156"/>
        <v>1620.64</v>
      </c>
      <c r="L560" s="178"/>
      <c r="M560" s="139">
        <v>1</v>
      </c>
      <c r="N560" s="139">
        <v>1473.26</v>
      </c>
      <c r="O560" s="139"/>
      <c r="P560" s="37">
        <f t="shared" si="157"/>
        <v>84.6688</v>
      </c>
      <c r="Q560" s="99">
        <f>$Q$472</f>
        <v>0</v>
      </c>
      <c r="R560" s="163">
        <f>$R$472</f>
        <v>0.01</v>
      </c>
      <c r="S560" s="99">
        <f>$S$472</f>
        <v>55</v>
      </c>
      <c r="T560" s="99">
        <f>$T$472</f>
        <v>29.6688</v>
      </c>
      <c r="U560" s="99">
        <f>$U$472</f>
        <v>0</v>
      </c>
      <c r="V560" s="37">
        <f t="shared" si="158"/>
        <v>1473.23712</v>
      </c>
      <c r="W560" s="139"/>
      <c r="X560" s="139"/>
      <c r="Y560" s="139"/>
      <c r="Z560" s="139"/>
      <c r="AA560" s="139"/>
      <c r="AB560" s="139"/>
      <c r="AC560" s="139"/>
      <c r="AD560" s="139"/>
      <c r="AE560" s="139"/>
      <c r="AF560" s="140"/>
      <c r="AG560" s="140"/>
      <c r="AH560" s="140"/>
      <c r="AI560" s="140"/>
      <c r="AJ560" s="140"/>
      <c r="AK560" s="140"/>
      <c r="AL560" s="140"/>
      <c r="AM560" s="140"/>
      <c r="AN560" s="140"/>
      <c r="AO560" s="140"/>
      <c r="AP560" s="140"/>
      <c r="AQ560" s="140"/>
      <c r="AR560" s="140"/>
      <c r="AS560" s="140"/>
      <c r="AT560" s="140"/>
      <c r="AU560" s="140"/>
      <c r="AV560" s="140"/>
      <c r="AW560" s="140"/>
      <c r="AX560" s="140"/>
      <c r="AY560" s="140"/>
      <c r="AZ560" s="140"/>
      <c r="BA560" s="140"/>
      <c r="BB560" s="140"/>
      <c r="BC560" s="140"/>
      <c r="BD560" s="140"/>
      <c r="BE560" s="140"/>
    </row>
    <row r="561" s="119" customFormat="1" ht="72" customHeight="1" outlineLevel="2" spans="1:57">
      <c r="A561" s="162">
        <f t="shared" si="153"/>
        <v>7</v>
      </c>
      <c r="B561" s="14" t="s">
        <v>108</v>
      </c>
      <c r="C561" s="15" t="s">
        <v>109</v>
      </c>
      <c r="D561" s="142" t="s">
        <v>70</v>
      </c>
      <c r="E561" s="143">
        <f>1.2*2*4+8.2+4.4+5.95+5.95</f>
        <v>34.1</v>
      </c>
      <c r="F561" s="143">
        <f>$F$31</f>
        <v>30</v>
      </c>
      <c r="G561" s="143">
        <f>$G$31</f>
        <v>65.6625</v>
      </c>
      <c r="H561" s="143">
        <f>$H$31</f>
        <v>2.7</v>
      </c>
      <c r="I561" s="17">
        <f t="shared" si="154"/>
        <v>9.83625</v>
      </c>
      <c r="J561" s="18">
        <f t="shared" si="155"/>
        <v>108.2</v>
      </c>
      <c r="K561" s="19">
        <f t="shared" si="156"/>
        <v>3689.62</v>
      </c>
      <c r="L561" s="178"/>
      <c r="M561" s="139">
        <v>1</v>
      </c>
      <c r="N561" s="139">
        <v>3354.08</v>
      </c>
      <c r="O561" s="139"/>
      <c r="P561" s="37">
        <f t="shared" si="157"/>
        <v>98.3625</v>
      </c>
      <c r="Q561" s="99">
        <f>$Q$31</f>
        <v>63.75</v>
      </c>
      <c r="R561" s="163">
        <f>$R$31</f>
        <v>0.03</v>
      </c>
      <c r="S561" s="99">
        <f>$S$31</f>
        <v>30</v>
      </c>
      <c r="T561" s="99">
        <f>$T$31</f>
        <v>2.5</v>
      </c>
      <c r="U561" s="99">
        <f>$U$31</f>
        <v>0.2</v>
      </c>
      <c r="V561" s="37">
        <f t="shared" si="158"/>
        <v>3354.16125</v>
      </c>
      <c r="W561" s="139"/>
      <c r="X561" s="139"/>
      <c r="Y561" s="139"/>
      <c r="Z561" s="139"/>
      <c r="AA561" s="139"/>
      <c r="AB561" s="139"/>
      <c r="AC561" s="139"/>
      <c r="AD561" s="139"/>
      <c r="AE561" s="139"/>
      <c r="AF561" s="140"/>
      <c r="AG561" s="140"/>
      <c r="AH561" s="140"/>
      <c r="AI561" s="140"/>
      <c r="AJ561" s="140"/>
      <c r="AK561" s="140"/>
      <c r="AL561" s="140"/>
      <c r="AM561" s="140"/>
      <c r="AN561" s="140"/>
      <c r="AO561" s="140"/>
      <c r="AP561" s="140"/>
      <c r="AQ561" s="140"/>
      <c r="AR561" s="140"/>
      <c r="AS561" s="140"/>
      <c r="AT561" s="140"/>
      <c r="AU561" s="140"/>
      <c r="AV561" s="140"/>
      <c r="AW561" s="140"/>
      <c r="AX561" s="140"/>
      <c r="AY561" s="140"/>
      <c r="AZ561" s="140"/>
      <c r="BA561" s="140"/>
      <c r="BB561" s="140"/>
      <c r="BC561" s="140"/>
      <c r="BD561" s="140"/>
      <c r="BE561" s="140"/>
    </row>
    <row r="562" s="119" customFormat="1" ht="72" customHeight="1" outlineLevel="2" spans="1:57">
      <c r="A562" s="162">
        <f t="shared" si="153"/>
        <v>8</v>
      </c>
      <c r="B562" s="14" t="s">
        <v>110</v>
      </c>
      <c r="C562" s="15" t="s">
        <v>111</v>
      </c>
      <c r="D562" s="142" t="s">
        <v>63</v>
      </c>
      <c r="E562" s="143">
        <f>263.48+62.59*0.05+52.4*0.3+17.4*0.4</f>
        <v>289.2895</v>
      </c>
      <c r="F562" s="143">
        <f>$F$32</f>
        <v>45</v>
      </c>
      <c r="G562" s="143">
        <f>$G$32</f>
        <v>85.5</v>
      </c>
      <c r="H562" s="143">
        <f>$H$32</f>
        <v>7.3</v>
      </c>
      <c r="I562" s="17">
        <f t="shared" si="154"/>
        <v>13.78</v>
      </c>
      <c r="J562" s="18">
        <f t="shared" si="155"/>
        <v>151.58</v>
      </c>
      <c r="K562" s="19">
        <f t="shared" si="156"/>
        <v>43850.5</v>
      </c>
      <c r="L562" s="178"/>
      <c r="M562" s="139">
        <v>1</v>
      </c>
      <c r="N562" s="139">
        <v>39864.09</v>
      </c>
      <c r="O562" s="139"/>
      <c r="P562" s="37">
        <f t="shared" si="157"/>
        <v>137.8</v>
      </c>
      <c r="Q562" s="99">
        <f>$Q$32</f>
        <v>85.5</v>
      </c>
      <c r="R562" s="163">
        <f>$R$32</f>
        <v>0</v>
      </c>
      <c r="S562" s="99">
        <f>$S$32</f>
        <v>45</v>
      </c>
      <c r="T562" s="99">
        <f>$T$32</f>
        <v>6.5</v>
      </c>
      <c r="U562" s="99">
        <f>$U$32</f>
        <v>0.8</v>
      </c>
      <c r="V562" s="37">
        <f t="shared" si="158"/>
        <v>39864.0931</v>
      </c>
      <c r="W562" s="139"/>
      <c r="X562" s="139"/>
      <c r="Y562" s="139"/>
      <c r="Z562" s="139"/>
      <c r="AA562" s="139"/>
      <c r="AB562" s="139"/>
      <c r="AC562" s="139"/>
      <c r="AD562" s="139"/>
      <c r="AE562" s="139"/>
      <c r="AF562" s="140"/>
      <c r="AG562" s="140"/>
      <c r="AH562" s="140"/>
      <c r="AI562" s="140"/>
      <c r="AJ562" s="140"/>
      <c r="AK562" s="140"/>
      <c r="AL562" s="140"/>
      <c r="AM562" s="140"/>
      <c r="AN562" s="140"/>
      <c r="AO562" s="140"/>
      <c r="AP562" s="140"/>
      <c r="AQ562" s="140"/>
      <c r="AR562" s="140"/>
      <c r="AS562" s="140"/>
      <c r="AT562" s="140"/>
      <c r="AU562" s="140"/>
      <c r="AV562" s="140"/>
      <c r="AW562" s="140"/>
      <c r="AX562" s="140"/>
      <c r="AY562" s="140"/>
      <c r="AZ562" s="140"/>
      <c r="BA562" s="140"/>
      <c r="BB562" s="140"/>
      <c r="BC562" s="140"/>
      <c r="BD562" s="140"/>
      <c r="BE562" s="140"/>
    </row>
    <row r="563" s="119" customFormat="1" ht="72" customHeight="1" outlineLevel="2" spans="1:57">
      <c r="A563" s="162">
        <f t="shared" si="153"/>
        <v>9</v>
      </c>
      <c r="B563" s="14" t="s">
        <v>270</v>
      </c>
      <c r="C563" s="15" t="s">
        <v>271</v>
      </c>
      <c r="D563" s="142" t="s">
        <v>63</v>
      </c>
      <c r="E563" s="143">
        <v>15</v>
      </c>
      <c r="F563" s="143">
        <f>$F$475</f>
        <v>12</v>
      </c>
      <c r="G563" s="143">
        <f>$G$475</f>
        <v>5.5</v>
      </c>
      <c r="H563" s="143">
        <f>$H$475</f>
        <v>4.2682</v>
      </c>
      <c r="I563" s="17">
        <f t="shared" si="154"/>
        <v>2.17682</v>
      </c>
      <c r="J563" s="18">
        <f t="shared" si="155"/>
        <v>23.95</v>
      </c>
      <c r="K563" s="19">
        <f t="shared" si="156"/>
        <v>359.25</v>
      </c>
      <c r="L563" s="178"/>
      <c r="M563" s="139">
        <v>1</v>
      </c>
      <c r="N563" s="139">
        <v>326.55</v>
      </c>
      <c r="O563" s="139"/>
      <c r="P563" s="37">
        <f t="shared" si="157"/>
        <v>21.7682</v>
      </c>
      <c r="Q563" s="99">
        <f>$Q$475</f>
        <v>5.5</v>
      </c>
      <c r="R563" s="163">
        <f>$R$475</f>
        <v>0</v>
      </c>
      <c r="S563" s="99">
        <f>$S$475</f>
        <v>12</v>
      </c>
      <c r="T563" s="99">
        <f>$T$475</f>
        <v>3.9682</v>
      </c>
      <c r="U563" s="99">
        <f>$U$475</f>
        <v>0.3</v>
      </c>
      <c r="V563" s="37">
        <f t="shared" si="158"/>
        <v>326.523</v>
      </c>
      <c r="W563" s="139"/>
      <c r="X563" s="139"/>
      <c r="Y563" s="139"/>
      <c r="Z563" s="139"/>
      <c r="AA563" s="139"/>
      <c r="AB563" s="139"/>
      <c r="AC563" s="139"/>
      <c r="AD563" s="139"/>
      <c r="AE563" s="139"/>
      <c r="AF563" s="140"/>
      <c r="AG563" s="140"/>
      <c r="AH563" s="140"/>
      <c r="AI563" s="140"/>
      <c r="AJ563" s="140"/>
      <c r="AK563" s="140"/>
      <c r="AL563" s="140"/>
      <c r="AM563" s="140"/>
      <c r="AN563" s="140"/>
      <c r="AO563" s="140"/>
      <c r="AP563" s="140"/>
      <c r="AQ563" s="140"/>
      <c r="AR563" s="140"/>
      <c r="AS563" s="140"/>
      <c r="AT563" s="140"/>
      <c r="AU563" s="140"/>
      <c r="AV563" s="140"/>
      <c r="AW563" s="140"/>
      <c r="AX563" s="140"/>
      <c r="AY563" s="140"/>
      <c r="AZ563" s="140"/>
      <c r="BA563" s="140"/>
      <c r="BB563" s="140"/>
      <c r="BC563" s="140"/>
      <c r="BD563" s="140"/>
      <c r="BE563" s="140"/>
    </row>
    <row r="564" s="119" customFormat="1" ht="24" customHeight="1" outlineLevel="1" spans="1:57">
      <c r="A564" s="141"/>
      <c r="B564" s="14" t="s">
        <v>112</v>
      </c>
      <c r="C564" s="15"/>
      <c r="D564" s="142"/>
      <c r="E564" s="143"/>
      <c r="F564" s="143"/>
      <c r="G564" s="143"/>
      <c r="H564" s="143"/>
      <c r="I564" s="143"/>
      <c r="J564" s="143"/>
      <c r="K564" s="144"/>
      <c r="L564" s="178"/>
      <c r="M564" s="139"/>
      <c r="N564" s="139"/>
      <c r="O564" s="139"/>
      <c r="P564" s="137"/>
      <c r="Q564" s="137"/>
      <c r="R564" s="138"/>
      <c r="S564" s="137"/>
      <c r="T564" s="137"/>
      <c r="U564" s="137"/>
      <c r="V564" s="137"/>
      <c r="W564" s="139"/>
      <c r="X564" s="139"/>
      <c r="Y564" s="139"/>
      <c r="Z564" s="139"/>
      <c r="AA564" s="139"/>
      <c r="AB564" s="139"/>
      <c r="AC564" s="139"/>
      <c r="AD564" s="139"/>
      <c r="AE564" s="139"/>
      <c r="AF564" s="140"/>
      <c r="AG564" s="140"/>
      <c r="AH564" s="140"/>
      <c r="AI564" s="140"/>
      <c r="AJ564" s="140"/>
      <c r="AK564" s="140"/>
      <c r="AL564" s="140"/>
      <c r="AM564" s="140"/>
      <c r="AN564" s="140"/>
      <c r="AO564" s="140"/>
      <c r="AP564" s="140"/>
      <c r="AQ564" s="140"/>
      <c r="AR564" s="140"/>
      <c r="AS564" s="140"/>
      <c r="AT564" s="140"/>
      <c r="AU564" s="140"/>
      <c r="AV564" s="140"/>
      <c r="AW564" s="140"/>
      <c r="AX564" s="140"/>
      <c r="AY564" s="140"/>
      <c r="AZ564" s="140"/>
      <c r="BA564" s="140"/>
      <c r="BB564" s="140"/>
      <c r="BC564" s="140"/>
      <c r="BD564" s="140"/>
      <c r="BE564" s="140"/>
    </row>
    <row r="565" s="119" customFormat="1" ht="36" customHeight="1" outlineLevel="2" spans="1:57">
      <c r="A565" s="162">
        <f t="shared" ref="A565:A571" si="159">1+N(A564)</f>
        <v>1</v>
      </c>
      <c r="B565" s="14" t="s">
        <v>126</v>
      </c>
      <c r="C565" s="15" t="s">
        <v>114</v>
      </c>
      <c r="D565" s="142" t="s">
        <v>63</v>
      </c>
      <c r="E565" s="143">
        <f>0.8*3.4</f>
        <v>2.72</v>
      </c>
      <c r="F565" s="143">
        <f>$F$60</f>
        <v>165</v>
      </c>
      <c r="G565" s="143">
        <f>$G$60</f>
        <v>85</v>
      </c>
      <c r="H565" s="143">
        <f>$H$60</f>
        <v>355.1744</v>
      </c>
      <c r="I565" s="17">
        <f t="shared" ref="I565:I571" si="160">(F565+G565+H565)*$I$3</f>
        <v>60.51744</v>
      </c>
      <c r="J565" s="18">
        <f t="shared" ref="J565:J571" si="161">ROUND(SUM(F565:I565),2)</f>
        <v>665.69</v>
      </c>
      <c r="K565" s="19">
        <f t="shared" ref="K565:K571" si="162">ROUND(J565*E565,2)</f>
        <v>1810.68</v>
      </c>
      <c r="L565" s="178"/>
      <c r="M565" s="139">
        <v>1</v>
      </c>
      <c r="N565" s="139">
        <v>1646.06</v>
      </c>
      <c r="O565" s="139"/>
      <c r="P565" s="37">
        <f t="shared" ref="P565:P571" si="163">Q565+Q565*R565+S565+T565+U565</f>
        <v>605.1744</v>
      </c>
      <c r="Q565" s="99">
        <f>$Q$60</f>
        <v>85</v>
      </c>
      <c r="R565" s="163">
        <f>$R$60</f>
        <v>0</v>
      </c>
      <c r="S565" s="99">
        <f>$S$60</f>
        <v>165</v>
      </c>
      <c r="T565" s="99">
        <f>$T$60</f>
        <v>353.6744</v>
      </c>
      <c r="U565" s="99">
        <f>$U$60</f>
        <v>1.5</v>
      </c>
      <c r="V565" s="37">
        <f t="shared" ref="V565:V571" si="164">P565*E565</f>
        <v>1646.074368</v>
      </c>
      <c r="W565" s="139"/>
      <c r="X565" s="139"/>
      <c r="Y565" s="139"/>
      <c r="Z565" s="139"/>
      <c r="AA565" s="139"/>
      <c r="AB565" s="139"/>
      <c r="AC565" s="139"/>
      <c r="AD565" s="139"/>
      <c r="AE565" s="139"/>
      <c r="AF565" s="140"/>
      <c r="AG565" s="140"/>
      <c r="AH565" s="140"/>
      <c r="AI565" s="140"/>
      <c r="AJ565" s="140"/>
      <c r="AK565" s="140"/>
      <c r="AL565" s="140"/>
      <c r="AM565" s="140"/>
      <c r="AN565" s="140"/>
      <c r="AO565" s="140"/>
      <c r="AP565" s="140"/>
      <c r="AQ565" s="140"/>
      <c r="AR565" s="140"/>
      <c r="AS565" s="140"/>
      <c r="AT565" s="140"/>
      <c r="AU565" s="140"/>
      <c r="AV565" s="140"/>
      <c r="AW565" s="140"/>
      <c r="AX565" s="140"/>
      <c r="AY565" s="140"/>
      <c r="AZ565" s="140"/>
      <c r="BA565" s="140"/>
      <c r="BB565" s="140"/>
      <c r="BC565" s="140"/>
      <c r="BD565" s="140"/>
      <c r="BE565" s="140"/>
    </row>
    <row r="566" s="119" customFormat="1" ht="36" customHeight="1" outlineLevel="2" spans="1:57">
      <c r="A566" s="145">
        <f t="shared" si="159"/>
        <v>2</v>
      </c>
      <c r="B566" s="146" t="s">
        <v>317</v>
      </c>
      <c r="C566" s="147" t="s">
        <v>114</v>
      </c>
      <c r="D566" s="148" t="s">
        <v>63</v>
      </c>
      <c r="E566" s="149">
        <f>1*3.4</f>
        <v>3.4</v>
      </c>
      <c r="F566" s="149">
        <f>S566*$S$1</f>
        <v>165</v>
      </c>
      <c r="G566" s="149">
        <f>Q566*(1+R566)*$Q$1</f>
        <v>0</v>
      </c>
      <c r="H566" s="149">
        <f>(T566+U566)*$T$1</f>
        <v>355.1744</v>
      </c>
      <c r="I566" s="150">
        <f t="shared" si="160"/>
        <v>52.01744</v>
      </c>
      <c r="J566" s="151">
        <f t="shared" si="161"/>
        <v>572.19</v>
      </c>
      <c r="K566" s="152">
        <f t="shared" si="162"/>
        <v>1945.45</v>
      </c>
      <c r="L566" s="178"/>
      <c r="M566" s="139">
        <v>1</v>
      </c>
      <c r="N566" s="139">
        <v>1768.58</v>
      </c>
      <c r="O566" s="139"/>
      <c r="P566" s="37">
        <f t="shared" si="163"/>
        <v>520.1744</v>
      </c>
      <c r="Q566" s="71"/>
      <c r="R566" s="157">
        <v>0</v>
      </c>
      <c r="S566" s="71">
        <v>165</v>
      </c>
      <c r="T566" s="71">
        <v>353.6744</v>
      </c>
      <c r="U566" s="71">
        <v>1.5</v>
      </c>
      <c r="V566" s="37">
        <f t="shared" si="164"/>
        <v>1768.59296</v>
      </c>
      <c r="W566" s="139"/>
      <c r="X566" s="139"/>
      <c r="Y566" s="139"/>
      <c r="Z566" s="139"/>
      <c r="AA566" s="139"/>
      <c r="AB566" s="139"/>
      <c r="AC566" s="139"/>
      <c r="AD566" s="139"/>
      <c r="AE566" s="139"/>
      <c r="AF566" s="140"/>
      <c r="AG566" s="140"/>
      <c r="AH566" s="140"/>
      <c r="AI566" s="140"/>
      <c r="AJ566" s="140"/>
      <c r="AK566" s="140"/>
      <c r="AL566" s="140"/>
      <c r="AM566" s="140"/>
      <c r="AN566" s="140"/>
      <c r="AO566" s="140"/>
      <c r="AP566" s="140"/>
      <c r="AQ566" s="140"/>
      <c r="AR566" s="140"/>
      <c r="AS566" s="140"/>
      <c r="AT566" s="140"/>
      <c r="AU566" s="140"/>
      <c r="AV566" s="140"/>
      <c r="AW566" s="140"/>
      <c r="AX566" s="140"/>
      <c r="AY566" s="140"/>
      <c r="AZ566" s="140"/>
      <c r="BA566" s="140"/>
      <c r="BB566" s="140"/>
      <c r="BC566" s="140"/>
      <c r="BD566" s="140"/>
      <c r="BE566" s="140"/>
    </row>
    <row r="567" s="119" customFormat="1" ht="48" customHeight="1" outlineLevel="2" spans="1:57">
      <c r="A567" s="162">
        <f t="shared" si="159"/>
        <v>3</v>
      </c>
      <c r="B567" s="14" t="s">
        <v>137</v>
      </c>
      <c r="C567" s="15" t="s">
        <v>138</v>
      </c>
      <c r="D567" s="142" t="s">
        <v>63</v>
      </c>
      <c r="E567" s="143">
        <f>6*0.8*3.2</f>
        <v>15.36</v>
      </c>
      <c r="F567" s="143">
        <f>$F$83</f>
        <v>55</v>
      </c>
      <c r="G567" s="143">
        <f>$G$83</f>
        <v>2325</v>
      </c>
      <c r="H567" s="143">
        <f>$H$83</f>
        <v>16.5</v>
      </c>
      <c r="I567" s="17">
        <f t="shared" si="160"/>
        <v>239.65</v>
      </c>
      <c r="J567" s="18">
        <f t="shared" si="161"/>
        <v>2636.15</v>
      </c>
      <c r="K567" s="19">
        <f t="shared" si="162"/>
        <v>40491.26</v>
      </c>
      <c r="L567" s="178"/>
      <c r="M567" s="139">
        <v>1</v>
      </c>
      <c r="N567" s="139">
        <v>36810.24</v>
      </c>
      <c r="O567" s="139"/>
      <c r="P567" s="37">
        <f t="shared" si="163"/>
        <v>2396.5</v>
      </c>
      <c r="Q567" s="99">
        <f>$Q$83</f>
        <v>2325</v>
      </c>
      <c r="R567" s="163">
        <f>$R$83</f>
        <v>0</v>
      </c>
      <c r="S567" s="99">
        <f>$S$83</f>
        <v>55</v>
      </c>
      <c r="T567" s="99">
        <f>$T$83</f>
        <v>15</v>
      </c>
      <c r="U567" s="99">
        <f>$U$83</f>
        <v>1.5</v>
      </c>
      <c r="V567" s="37">
        <f t="shared" si="164"/>
        <v>36810.24</v>
      </c>
      <c r="W567" s="139"/>
      <c r="X567" s="139"/>
      <c r="Y567" s="139"/>
      <c r="Z567" s="139"/>
      <c r="AA567" s="139"/>
      <c r="AB567" s="139"/>
      <c r="AC567" s="139"/>
      <c r="AD567" s="139"/>
      <c r="AE567" s="139"/>
      <c r="AF567" s="140"/>
      <c r="AG567" s="140"/>
      <c r="AH567" s="140"/>
      <c r="AI567" s="140"/>
      <c r="AJ567" s="140"/>
      <c r="AK567" s="140"/>
      <c r="AL567" s="140"/>
      <c r="AM567" s="140"/>
      <c r="AN567" s="140"/>
      <c r="AO567" s="140"/>
      <c r="AP567" s="140"/>
      <c r="AQ567" s="140"/>
      <c r="AR567" s="140"/>
      <c r="AS567" s="140"/>
      <c r="AT567" s="140"/>
      <c r="AU567" s="140"/>
      <c r="AV567" s="140"/>
      <c r="AW567" s="140"/>
      <c r="AX567" s="140"/>
      <c r="AY567" s="140"/>
      <c r="AZ567" s="140"/>
      <c r="BA567" s="140"/>
      <c r="BB567" s="140"/>
      <c r="BC567" s="140"/>
      <c r="BD567" s="140"/>
      <c r="BE567" s="140"/>
    </row>
    <row r="568" s="119" customFormat="1" ht="48" customHeight="1" outlineLevel="2" spans="1:57">
      <c r="A568" s="162">
        <f t="shared" si="159"/>
        <v>4</v>
      </c>
      <c r="B568" s="14" t="s">
        <v>272</v>
      </c>
      <c r="C568" s="15" t="s">
        <v>273</v>
      </c>
      <c r="D568" s="142" t="s">
        <v>63</v>
      </c>
      <c r="E568" s="143">
        <f>3*1.81*3.4</f>
        <v>18.462</v>
      </c>
      <c r="F568" s="143">
        <f>$F$477</f>
        <v>55</v>
      </c>
      <c r="G568" s="143">
        <f>$G$477</f>
        <v>1415</v>
      </c>
      <c r="H568" s="143">
        <f>$H$477</f>
        <v>36.5</v>
      </c>
      <c r="I568" s="17">
        <f t="shared" si="160"/>
        <v>150.65</v>
      </c>
      <c r="J568" s="18">
        <f t="shared" si="161"/>
        <v>1657.15</v>
      </c>
      <c r="K568" s="19">
        <f t="shared" si="162"/>
        <v>30594.3</v>
      </c>
      <c r="L568" s="178"/>
      <c r="M568" s="139">
        <v>1</v>
      </c>
      <c r="N568" s="139">
        <v>27813</v>
      </c>
      <c r="O568" s="139"/>
      <c r="P568" s="37">
        <f t="shared" si="163"/>
        <v>1506.5</v>
      </c>
      <c r="Q568" s="99">
        <f>$Q$477</f>
        <v>1415</v>
      </c>
      <c r="R568" s="163">
        <f>$R$477</f>
        <v>0</v>
      </c>
      <c r="S568" s="99">
        <f>$S$477</f>
        <v>55</v>
      </c>
      <c r="T568" s="99">
        <f>$T$477</f>
        <v>35</v>
      </c>
      <c r="U568" s="99">
        <f>$U$477</f>
        <v>1.5</v>
      </c>
      <c r="V568" s="37">
        <f t="shared" si="164"/>
        <v>27813.003</v>
      </c>
      <c r="W568" s="139"/>
      <c r="X568" s="139"/>
      <c r="Y568" s="139"/>
      <c r="Z568" s="139"/>
      <c r="AA568" s="139"/>
      <c r="AB568" s="139"/>
      <c r="AC568" s="139"/>
      <c r="AD568" s="139"/>
      <c r="AE568" s="139"/>
      <c r="AF568" s="140"/>
      <c r="AG568" s="140"/>
      <c r="AH568" s="140"/>
      <c r="AI568" s="140"/>
      <c r="AJ568" s="140"/>
      <c r="AK568" s="140"/>
      <c r="AL568" s="140"/>
      <c r="AM568" s="140"/>
      <c r="AN568" s="140"/>
      <c r="AO568" s="140"/>
      <c r="AP568" s="140"/>
      <c r="AQ568" s="140"/>
      <c r="AR568" s="140"/>
      <c r="AS568" s="140"/>
      <c r="AT568" s="140"/>
      <c r="AU568" s="140"/>
      <c r="AV568" s="140"/>
      <c r="AW568" s="140"/>
      <c r="AX568" s="140"/>
      <c r="AY568" s="140"/>
      <c r="AZ568" s="140"/>
      <c r="BA568" s="140"/>
      <c r="BB568" s="140"/>
      <c r="BC568" s="140"/>
      <c r="BD568" s="140"/>
      <c r="BE568" s="140"/>
    </row>
    <row r="569" s="119" customFormat="1" ht="72" customHeight="1" outlineLevel="2" spans="1:57">
      <c r="A569" s="145">
        <f t="shared" si="159"/>
        <v>5</v>
      </c>
      <c r="B569" s="146" t="s">
        <v>318</v>
      </c>
      <c r="C569" s="147" t="s">
        <v>319</v>
      </c>
      <c r="D569" s="148" t="s">
        <v>156</v>
      </c>
      <c r="E569" s="149">
        <v>1</v>
      </c>
      <c r="F569" s="149">
        <f>S569*$S$1</f>
        <v>4256.25</v>
      </c>
      <c r="G569" s="149">
        <f>Q569*(1+R569)*$Q$1</f>
        <v>29219.4</v>
      </c>
      <c r="H569" s="149">
        <f>(T569+U569)*$T$1</f>
        <v>2618.75</v>
      </c>
      <c r="I569" s="150">
        <f t="shared" si="160"/>
        <v>3609.44</v>
      </c>
      <c r="J569" s="151">
        <f t="shared" si="161"/>
        <v>39703.84</v>
      </c>
      <c r="K569" s="152">
        <f t="shared" si="162"/>
        <v>39703.84</v>
      </c>
      <c r="L569" s="178"/>
      <c r="M569" s="139">
        <v>1</v>
      </c>
      <c r="N569" s="139">
        <v>36094.4</v>
      </c>
      <c r="O569" s="139"/>
      <c r="P569" s="37">
        <f t="shared" si="163"/>
        <v>36094.4</v>
      </c>
      <c r="Q569" s="71">
        <v>27828</v>
      </c>
      <c r="R569" s="157">
        <v>0.05</v>
      </c>
      <c r="S569" s="71">
        <v>4256.25</v>
      </c>
      <c r="T569" s="71">
        <v>2118.75</v>
      </c>
      <c r="U569" s="71">
        <v>500</v>
      </c>
      <c r="V569" s="37">
        <f t="shared" si="164"/>
        <v>36094.4</v>
      </c>
      <c r="W569" s="139"/>
      <c r="X569" s="139"/>
      <c r="Y569" s="139"/>
      <c r="Z569" s="139"/>
      <c r="AA569" s="139"/>
      <c r="AB569" s="139"/>
      <c r="AC569" s="139"/>
      <c r="AD569" s="139"/>
      <c r="AE569" s="139"/>
      <c r="AF569" s="140"/>
      <c r="AG569" s="140"/>
      <c r="AH569" s="140"/>
      <c r="AI569" s="140"/>
      <c r="AJ569" s="140"/>
      <c r="AK569" s="140"/>
      <c r="AL569" s="140"/>
      <c r="AM569" s="140"/>
      <c r="AN569" s="140"/>
      <c r="AO569" s="140"/>
      <c r="AP569" s="140"/>
      <c r="AQ569" s="140"/>
      <c r="AR569" s="140"/>
      <c r="AS569" s="140"/>
      <c r="AT569" s="140"/>
      <c r="AU569" s="140"/>
      <c r="AV569" s="140"/>
      <c r="AW569" s="140"/>
      <c r="AX569" s="140"/>
      <c r="AY569" s="140"/>
      <c r="AZ569" s="140"/>
      <c r="BA569" s="140"/>
      <c r="BB569" s="140"/>
      <c r="BC569" s="140"/>
      <c r="BD569" s="140"/>
      <c r="BE569" s="140"/>
    </row>
    <row r="570" s="119" customFormat="1" ht="60" customHeight="1" outlineLevel="2" spans="1:57">
      <c r="A570" s="145">
        <f t="shared" si="159"/>
        <v>6</v>
      </c>
      <c r="B570" s="146" t="s">
        <v>320</v>
      </c>
      <c r="C570" s="147" t="s">
        <v>321</v>
      </c>
      <c r="D570" s="148" t="s">
        <v>63</v>
      </c>
      <c r="E570" s="149">
        <f>4.05*3.4</f>
        <v>13.77</v>
      </c>
      <c r="F570" s="149">
        <f>S570*$S$1</f>
        <v>50</v>
      </c>
      <c r="G570" s="149">
        <f>Q570*(1+R570)*$Q$1</f>
        <v>2100</v>
      </c>
      <c r="H570" s="149">
        <f>(T570+U570)*$T$1</f>
        <v>36.5</v>
      </c>
      <c r="I570" s="150">
        <f t="shared" si="160"/>
        <v>218.65</v>
      </c>
      <c r="J570" s="151">
        <f t="shared" si="161"/>
        <v>2405.15</v>
      </c>
      <c r="K570" s="152">
        <f t="shared" si="162"/>
        <v>33118.92</v>
      </c>
      <c r="L570" s="178"/>
      <c r="M570" s="139">
        <v>1</v>
      </c>
      <c r="N570" s="139">
        <v>30108.11</v>
      </c>
      <c r="O570" s="139"/>
      <c r="P570" s="37">
        <f t="shared" si="163"/>
        <v>2186.5</v>
      </c>
      <c r="Q570" s="71">
        <v>2100</v>
      </c>
      <c r="R570" s="157">
        <v>0</v>
      </c>
      <c r="S570" s="71">
        <v>50</v>
      </c>
      <c r="T570" s="71">
        <v>35</v>
      </c>
      <c r="U570" s="71">
        <v>1.5</v>
      </c>
      <c r="V570" s="37">
        <f t="shared" si="164"/>
        <v>30108.105</v>
      </c>
      <c r="W570" s="139"/>
      <c r="X570" s="139"/>
      <c r="Y570" s="139"/>
      <c r="Z570" s="139"/>
      <c r="AA570" s="139"/>
      <c r="AB570" s="139"/>
      <c r="AC570" s="139"/>
      <c r="AD570" s="139"/>
      <c r="AE570" s="139"/>
      <c r="AF570" s="140"/>
      <c r="AG570" s="140"/>
      <c r="AH570" s="140"/>
      <c r="AI570" s="140"/>
      <c r="AJ570" s="140"/>
      <c r="AK570" s="140"/>
      <c r="AL570" s="140"/>
      <c r="AM570" s="140"/>
      <c r="AN570" s="140"/>
      <c r="AO570" s="140"/>
      <c r="AP570" s="140"/>
      <c r="AQ570" s="140"/>
      <c r="AR570" s="140"/>
      <c r="AS570" s="140"/>
      <c r="AT570" s="140"/>
      <c r="AU570" s="140"/>
      <c r="AV570" s="140"/>
      <c r="AW570" s="140"/>
      <c r="AX570" s="140"/>
      <c r="AY570" s="140"/>
      <c r="AZ570" s="140"/>
      <c r="BA570" s="140"/>
      <c r="BB570" s="140"/>
      <c r="BC570" s="140"/>
      <c r="BD570" s="140"/>
      <c r="BE570" s="140"/>
    </row>
    <row r="571" s="119" customFormat="1" ht="84" customHeight="1" outlineLevel="2" spans="1:57">
      <c r="A571" s="145">
        <f t="shared" si="159"/>
        <v>7</v>
      </c>
      <c r="B571" s="146" t="s">
        <v>322</v>
      </c>
      <c r="C571" s="147" t="s">
        <v>323</v>
      </c>
      <c r="D571" s="148" t="s">
        <v>156</v>
      </c>
      <c r="E571" s="149">
        <v>1</v>
      </c>
      <c r="F571" s="149">
        <f>S571*$S$1</f>
        <v>10843</v>
      </c>
      <c r="G571" s="149">
        <f>Q571*(1+R571)*$Q$1</f>
        <v>27681.984</v>
      </c>
      <c r="H571" s="149">
        <f>(T571+U571)*$T$1</f>
        <v>5995.1</v>
      </c>
      <c r="I571" s="150">
        <f t="shared" si="160"/>
        <v>4452.0084</v>
      </c>
      <c r="J571" s="151">
        <f t="shared" si="161"/>
        <v>48972.09</v>
      </c>
      <c r="K571" s="152">
        <f t="shared" si="162"/>
        <v>48972.09</v>
      </c>
      <c r="L571" s="178"/>
      <c r="M571" s="139">
        <v>1</v>
      </c>
      <c r="N571" s="139">
        <v>44520.08</v>
      </c>
      <c r="O571" s="139"/>
      <c r="P571" s="37">
        <f t="shared" si="163"/>
        <v>44520.084</v>
      </c>
      <c r="Q571" s="71">
        <v>27139.2</v>
      </c>
      <c r="R571" s="157">
        <v>0.02</v>
      </c>
      <c r="S571" s="71">
        <v>10843</v>
      </c>
      <c r="T571" s="71">
        <v>5495.1</v>
      </c>
      <c r="U571" s="71">
        <v>500</v>
      </c>
      <c r="V571" s="37">
        <f t="shared" si="164"/>
        <v>44520.084</v>
      </c>
      <c r="W571" s="139"/>
      <c r="X571" s="139"/>
      <c r="Y571" s="139"/>
      <c r="Z571" s="139"/>
      <c r="AA571" s="139"/>
      <c r="AB571" s="139"/>
      <c r="AC571" s="139"/>
      <c r="AD571" s="139"/>
      <c r="AE571" s="139"/>
      <c r="AF571" s="140"/>
      <c r="AG571" s="140"/>
      <c r="AH571" s="140"/>
      <c r="AI571" s="140"/>
      <c r="AJ571" s="140"/>
      <c r="AK571" s="140"/>
      <c r="AL571" s="140"/>
      <c r="AM571" s="140"/>
      <c r="AN571" s="140"/>
      <c r="AO571" s="140"/>
      <c r="AP571" s="140"/>
      <c r="AQ571" s="140"/>
      <c r="AR571" s="140"/>
      <c r="AS571" s="140"/>
      <c r="AT571" s="140"/>
      <c r="AU571" s="140"/>
      <c r="AV571" s="140"/>
      <c r="AW571" s="140"/>
      <c r="AX571" s="140"/>
      <c r="AY571" s="140"/>
      <c r="AZ571" s="140"/>
      <c r="BA571" s="140"/>
      <c r="BB571" s="140"/>
      <c r="BC571" s="140"/>
      <c r="BD571" s="140"/>
      <c r="BE571" s="140"/>
    </row>
    <row r="572" s="119" customFormat="1" ht="24" customHeight="1" outlineLevel="1" spans="1:57">
      <c r="A572" s="132" t="s">
        <v>142</v>
      </c>
      <c r="B572" s="8" t="s">
        <v>324</v>
      </c>
      <c r="C572" s="180"/>
      <c r="D572" s="133"/>
      <c r="E572" s="134"/>
      <c r="F572" s="134"/>
      <c r="G572" s="134"/>
      <c r="H572" s="134"/>
      <c r="I572" s="134"/>
      <c r="J572" s="134"/>
      <c r="K572" s="11"/>
      <c r="L572" s="178"/>
      <c r="M572" s="139"/>
      <c r="N572" s="139"/>
      <c r="O572" s="139" t="str">
        <f>_xlfn.DISPIMG("ID_EAC5E79C165D415B932AFE73B780235F",1)</f>
        <v>=DISPIMG("ID_EAC5E79C165D415B932AFE73B780235F",1)</v>
      </c>
      <c r="P572" s="137"/>
      <c r="Q572" s="137"/>
      <c r="R572" s="138"/>
      <c r="S572" s="137"/>
      <c r="T572" s="137"/>
      <c r="U572" s="137"/>
      <c r="V572" s="137"/>
      <c r="W572" s="139"/>
      <c r="X572" s="139"/>
      <c r="Y572" s="139"/>
      <c r="Z572" s="139"/>
      <c r="AA572" s="139"/>
      <c r="AB572" s="139"/>
      <c r="AC572" s="139"/>
      <c r="AD572" s="139"/>
      <c r="AE572" s="139"/>
      <c r="AF572" s="140"/>
      <c r="AG572" s="140"/>
      <c r="AH572" s="140"/>
      <c r="AI572" s="140"/>
      <c r="AJ572" s="140"/>
      <c r="AK572" s="140"/>
      <c r="AL572" s="140"/>
      <c r="AM572" s="140"/>
      <c r="AN572" s="140"/>
      <c r="AO572" s="140"/>
      <c r="AP572" s="140"/>
      <c r="AQ572" s="140"/>
      <c r="AR572" s="140"/>
      <c r="AS572" s="140"/>
      <c r="AT572" s="140"/>
      <c r="AU572" s="140"/>
      <c r="AV572" s="140"/>
      <c r="AW572" s="140"/>
      <c r="AX572" s="140"/>
      <c r="AY572" s="140"/>
      <c r="AZ572" s="140"/>
      <c r="BA572" s="140"/>
      <c r="BB572" s="140"/>
      <c r="BC572" s="140"/>
      <c r="BD572" s="140"/>
      <c r="BE572" s="140"/>
    </row>
    <row r="573" s="119" customFormat="1" ht="24" customHeight="1" outlineLevel="1" spans="1:57">
      <c r="A573" s="141"/>
      <c r="B573" s="14" t="s">
        <v>60</v>
      </c>
      <c r="C573" s="15"/>
      <c r="D573" s="142"/>
      <c r="E573" s="143"/>
      <c r="F573" s="143"/>
      <c r="G573" s="143"/>
      <c r="H573" s="143"/>
      <c r="I573" s="143"/>
      <c r="J573" s="143"/>
      <c r="K573" s="144"/>
      <c r="L573" s="178"/>
      <c r="M573" s="139"/>
      <c r="N573" s="139"/>
      <c r="O573" s="139"/>
      <c r="P573" s="137"/>
      <c r="Q573" s="137"/>
      <c r="R573" s="138"/>
      <c r="S573" s="137"/>
      <c r="T573" s="137"/>
      <c r="U573" s="137"/>
      <c r="V573" s="137"/>
      <c r="W573" s="139"/>
      <c r="X573" s="139"/>
      <c r="Y573" s="139"/>
      <c r="Z573" s="139"/>
      <c r="AA573" s="139"/>
      <c r="AB573" s="139"/>
      <c r="AC573" s="139"/>
      <c r="AD573" s="139"/>
      <c r="AE573" s="139"/>
      <c r="AF573" s="140"/>
      <c r="AG573" s="140"/>
      <c r="AH573" s="140"/>
      <c r="AI573" s="140"/>
      <c r="AJ573" s="140"/>
      <c r="AK573" s="140"/>
      <c r="AL573" s="140"/>
      <c r="AM573" s="140"/>
      <c r="AN573" s="140"/>
      <c r="AO573" s="140"/>
      <c r="AP573" s="140"/>
      <c r="AQ573" s="140"/>
      <c r="AR573" s="140"/>
      <c r="AS573" s="140"/>
      <c r="AT573" s="140"/>
      <c r="AU573" s="140"/>
      <c r="AV573" s="140"/>
      <c r="AW573" s="140"/>
      <c r="AX573" s="140"/>
      <c r="AY573" s="140"/>
      <c r="AZ573" s="140"/>
      <c r="BA573" s="140"/>
      <c r="BB573" s="140"/>
      <c r="BC573" s="140"/>
      <c r="BD573" s="140"/>
      <c r="BE573" s="140"/>
    </row>
    <row r="574" s="119" customFormat="1" ht="72" customHeight="1" outlineLevel="2" spans="1:57">
      <c r="A574" s="145">
        <f>1+N(A573)</f>
        <v>1</v>
      </c>
      <c r="B574" s="146" t="s">
        <v>325</v>
      </c>
      <c r="C574" s="147" t="s">
        <v>326</v>
      </c>
      <c r="D574" s="148" t="s">
        <v>63</v>
      </c>
      <c r="E574" s="149">
        <v>24.35</v>
      </c>
      <c r="F574" s="149">
        <f>S574*$S$1</f>
        <v>36</v>
      </c>
      <c r="G574" s="149">
        <f>Q574*(1+R574)*$Q$1</f>
        <v>235.75</v>
      </c>
      <c r="H574" s="149">
        <f>(T574+U574)*$T$1</f>
        <v>17.5</v>
      </c>
      <c r="I574" s="150">
        <f>(F574+G574+H574)*$I$3</f>
        <v>28.925</v>
      </c>
      <c r="J574" s="151">
        <f>ROUND(SUM(F574:I574),2)</f>
        <v>318.18</v>
      </c>
      <c r="K574" s="152">
        <f>ROUND(J574*E574,2)</f>
        <v>7747.68</v>
      </c>
      <c r="L574" s="178"/>
      <c r="M574" s="139">
        <v>1</v>
      </c>
      <c r="N574" s="139">
        <v>7043.24</v>
      </c>
      <c r="O574" s="139"/>
      <c r="P574" s="37">
        <f>Q574+Q574*R574+S574+T574+U574</f>
        <v>289.25</v>
      </c>
      <c r="Q574" s="71">
        <v>230</v>
      </c>
      <c r="R574" s="157">
        <v>0.025</v>
      </c>
      <c r="S574" s="71">
        <v>36</v>
      </c>
      <c r="T574" s="71">
        <v>17.5</v>
      </c>
      <c r="U574" s="71"/>
      <c r="V574" s="37">
        <f>P574*E574</f>
        <v>7043.2375</v>
      </c>
      <c r="W574" s="139"/>
      <c r="X574" s="139"/>
      <c r="Y574" s="139"/>
      <c r="Z574" s="139"/>
      <c r="AA574" s="139"/>
      <c r="AB574" s="139"/>
      <c r="AC574" s="139"/>
      <c r="AD574" s="139"/>
      <c r="AE574" s="139"/>
      <c r="AF574" s="140"/>
      <c r="AG574" s="140"/>
      <c r="AH574" s="140"/>
      <c r="AI574" s="140"/>
      <c r="AJ574" s="140"/>
      <c r="AK574" s="140"/>
      <c r="AL574" s="140"/>
      <c r="AM574" s="140"/>
      <c r="AN574" s="140"/>
      <c r="AO574" s="140"/>
      <c r="AP574" s="140"/>
      <c r="AQ574" s="140"/>
      <c r="AR574" s="140"/>
      <c r="AS574" s="140"/>
      <c r="AT574" s="140"/>
      <c r="AU574" s="140"/>
      <c r="AV574" s="140"/>
      <c r="AW574" s="140"/>
      <c r="AX574" s="140"/>
      <c r="AY574" s="140"/>
      <c r="AZ574" s="140"/>
      <c r="BA574" s="140"/>
      <c r="BB574" s="140"/>
      <c r="BC574" s="140"/>
      <c r="BD574" s="140"/>
      <c r="BE574" s="140"/>
    </row>
    <row r="575" s="119" customFormat="1" ht="60" customHeight="1" outlineLevel="2" spans="1:57">
      <c r="A575" s="162">
        <f>1+N(A574)</f>
        <v>2</v>
      </c>
      <c r="B575" s="14" t="s">
        <v>168</v>
      </c>
      <c r="C575" s="15" t="s">
        <v>306</v>
      </c>
      <c r="D575" s="142" t="s">
        <v>63</v>
      </c>
      <c r="E575" s="143">
        <v>24.35</v>
      </c>
      <c r="F575" s="143">
        <f>$F$539</f>
        <v>28</v>
      </c>
      <c r="G575" s="143">
        <f>$G$539</f>
        <v>0</v>
      </c>
      <c r="H575" s="143">
        <f>$H$539</f>
        <v>31.8</v>
      </c>
      <c r="I575" s="17">
        <f>(F575+G575+H575)*$I$3</f>
        <v>5.98</v>
      </c>
      <c r="J575" s="18">
        <f>ROUND(SUM(F575:I575),2)</f>
        <v>65.78</v>
      </c>
      <c r="K575" s="19">
        <f>ROUND(J575*E575,2)</f>
        <v>1601.74</v>
      </c>
      <c r="L575" s="178"/>
      <c r="M575" s="139">
        <v>1</v>
      </c>
      <c r="N575" s="139">
        <v>1456.13</v>
      </c>
      <c r="O575" s="139"/>
      <c r="P575" s="37">
        <f>Q575+Q575*R575+S575+T575+U575</f>
        <v>59.8</v>
      </c>
      <c r="Q575" s="99">
        <f>$Q$539</f>
        <v>0</v>
      </c>
      <c r="R575" s="163">
        <f>$R$539</f>
        <v>0</v>
      </c>
      <c r="S575" s="99">
        <f>$S$539</f>
        <v>28</v>
      </c>
      <c r="T575" s="99">
        <f>$T$539</f>
        <v>31.5</v>
      </c>
      <c r="U575" s="99">
        <f>$U$539</f>
        <v>0.3</v>
      </c>
      <c r="V575" s="37">
        <f>P575*E575</f>
        <v>1456.13</v>
      </c>
      <c r="W575" s="139"/>
      <c r="X575" s="139"/>
      <c r="Y575" s="139"/>
      <c r="Z575" s="139"/>
      <c r="AA575" s="139"/>
      <c r="AB575" s="139"/>
      <c r="AC575" s="139"/>
      <c r="AD575" s="139"/>
      <c r="AE575" s="139"/>
      <c r="AF575" s="140"/>
      <c r="AG575" s="140"/>
      <c r="AH575" s="140"/>
      <c r="AI575" s="140"/>
      <c r="AJ575" s="140"/>
      <c r="AK575" s="140"/>
      <c r="AL575" s="140"/>
      <c r="AM575" s="140"/>
      <c r="AN575" s="140"/>
      <c r="AO575" s="140"/>
      <c r="AP575" s="140"/>
      <c r="AQ575" s="140"/>
      <c r="AR575" s="140"/>
      <c r="AS575" s="140"/>
      <c r="AT575" s="140"/>
      <c r="AU575" s="140"/>
      <c r="AV575" s="140"/>
      <c r="AW575" s="140"/>
      <c r="AX575" s="140"/>
      <c r="AY575" s="140"/>
      <c r="AZ575" s="140"/>
      <c r="BA575" s="140"/>
      <c r="BB575" s="140"/>
      <c r="BC575" s="140"/>
      <c r="BD575" s="140"/>
      <c r="BE575" s="140"/>
    </row>
    <row r="576" s="119" customFormat="1" ht="36" customHeight="1" outlineLevel="2" spans="1:57">
      <c r="A576" s="162">
        <f>1+N(A575)</f>
        <v>3</v>
      </c>
      <c r="B576" s="14" t="s">
        <v>68</v>
      </c>
      <c r="C576" s="15" t="s">
        <v>69</v>
      </c>
      <c r="D576" s="142" t="s">
        <v>70</v>
      </c>
      <c r="E576" s="143">
        <v>3.9</v>
      </c>
      <c r="F576" s="143">
        <f>$F$10</f>
        <v>12</v>
      </c>
      <c r="G576" s="143">
        <f>$G$10</f>
        <v>19.57</v>
      </c>
      <c r="H576" s="143">
        <f>$H$10</f>
        <v>0.5</v>
      </c>
      <c r="I576" s="17">
        <f>(F576+G576+H576)*$I$3</f>
        <v>3.207</v>
      </c>
      <c r="J576" s="18">
        <f>ROUND(SUM(F576:I576),2)</f>
        <v>35.28</v>
      </c>
      <c r="K576" s="19">
        <f>ROUND(J576*E576,2)</f>
        <v>137.59</v>
      </c>
      <c r="L576" s="178"/>
      <c r="M576" s="139">
        <v>1</v>
      </c>
      <c r="N576" s="139">
        <v>125.07</v>
      </c>
      <c r="O576" s="139"/>
      <c r="P576" s="37">
        <f>Q576+Q576*R576+S576+T576+U576</f>
        <v>32.07</v>
      </c>
      <c r="Q576" s="99">
        <f>$Q$10</f>
        <v>19</v>
      </c>
      <c r="R576" s="163">
        <f>$R$10</f>
        <v>0.03</v>
      </c>
      <c r="S576" s="99">
        <f>$S$10</f>
        <v>12</v>
      </c>
      <c r="T576" s="99">
        <f>$T$10</f>
        <v>0.3</v>
      </c>
      <c r="U576" s="99">
        <f>$U$10</f>
        <v>0.2</v>
      </c>
      <c r="V576" s="37">
        <f>P576*E576</f>
        <v>125.073</v>
      </c>
      <c r="W576" s="139"/>
      <c r="X576" s="139"/>
      <c r="Y576" s="139"/>
      <c r="Z576" s="139"/>
      <c r="AA576" s="139"/>
      <c r="AB576" s="139"/>
      <c r="AC576" s="139"/>
      <c r="AD576" s="139"/>
      <c r="AE576" s="139"/>
      <c r="AF576" s="140"/>
      <c r="AG576" s="140"/>
      <c r="AH576" s="140"/>
      <c r="AI576" s="140"/>
      <c r="AJ576" s="140"/>
      <c r="AK576" s="140"/>
      <c r="AL576" s="140"/>
      <c r="AM576" s="140"/>
      <c r="AN576" s="140"/>
      <c r="AO576" s="140"/>
      <c r="AP576" s="140"/>
      <c r="AQ576" s="140"/>
      <c r="AR576" s="140"/>
      <c r="AS576" s="140"/>
      <c r="AT576" s="140"/>
      <c r="AU576" s="140"/>
      <c r="AV576" s="140"/>
      <c r="AW576" s="140"/>
      <c r="AX576" s="140"/>
      <c r="AY576" s="140"/>
      <c r="AZ576" s="140"/>
      <c r="BA576" s="140"/>
      <c r="BB576" s="140"/>
      <c r="BC576" s="140"/>
      <c r="BD576" s="140"/>
      <c r="BE576" s="140"/>
    </row>
    <row r="577" s="119" customFormat="1" ht="24" customHeight="1" outlineLevel="1" spans="1:57">
      <c r="A577" s="141"/>
      <c r="B577" s="14" t="s">
        <v>73</v>
      </c>
      <c r="C577" s="15"/>
      <c r="D577" s="142"/>
      <c r="E577" s="143"/>
      <c r="F577" s="143"/>
      <c r="G577" s="143"/>
      <c r="H577" s="143"/>
      <c r="I577" s="143"/>
      <c r="J577" s="143"/>
      <c r="K577" s="144"/>
      <c r="L577" s="178"/>
      <c r="M577" s="139"/>
      <c r="N577" s="139"/>
      <c r="O577" s="139"/>
      <c r="P577" s="137"/>
      <c r="Q577" s="137"/>
      <c r="R577" s="138"/>
      <c r="S577" s="137"/>
      <c r="T577" s="137"/>
      <c r="U577" s="137"/>
      <c r="V577" s="137"/>
      <c r="W577" s="139"/>
      <c r="X577" s="139"/>
      <c r="Y577" s="139"/>
      <c r="Z577" s="139"/>
      <c r="AA577" s="139"/>
      <c r="AB577" s="139"/>
      <c r="AC577" s="139"/>
      <c r="AD577" s="139"/>
      <c r="AE577" s="139"/>
      <c r="AF577" s="140"/>
      <c r="AG577" s="140"/>
      <c r="AH577" s="140"/>
      <c r="AI577" s="140"/>
      <c r="AJ577" s="140"/>
      <c r="AK577" s="140"/>
      <c r="AL577" s="140"/>
      <c r="AM577" s="140"/>
      <c r="AN577" s="140"/>
      <c r="AO577" s="140"/>
      <c r="AP577" s="140"/>
      <c r="AQ577" s="140"/>
      <c r="AR577" s="140"/>
      <c r="AS577" s="140"/>
      <c r="AT577" s="140"/>
      <c r="AU577" s="140"/>
      <c r="AV577" s="140"/>
      <c r="AW577" s="140"/>
      <c r="AX577" s="140"/>
      <c r="AY577" s="140"/>
      <c r="AZ577" s="140"/>
      <c r="BA577" s="140"/>
      <c r="BB577" s="140"/>
      <c r="BC577" s="140"/>
      <c r="BD577" s="140"/>
      <c r="BE577" s="140"/>
    </row>
    <row r="578" s="119" customFormat="1" ht="60" customHeight="1" outlineLevel="2" spans="1:57">
      <c r="A578" s="145">
        <f>1+N(A577)</f>
        <v>1</v>
      </c>
      <c r="B578" s="158" t="s">
        <v>287</v>
      </c>
      <c r="C578" s="147" t="s">
        <v>327</v>
      </c>
      <c r="D578" s="148" t="s">
        <v>63</v>
      </c>
      <c r="E578" s="149">
        <v>12.855</v>
      </c>
      <c r="F578" s="149">
        <f>S578*$S$1</f>
        <v>75</v>
      </c>
      <c r="G578" s="149">
        <f>Q578*(1+R578)*$Q$1</f>
        <v>597.4</v>
      </c>
      <c r="H578" s="149">
        <f>(T578+U578)*$T$1</f>
        <v>124.95</v>
      </c>
      <c r="I578" s="150">
        <f>(F578+G578+H578)*$I$3</f>
        <v>79.735</v>
      </c>
      <c r="J578" s="151">
        <f>ROUND(SUM(F578:I578),2)</f>
        <v>877.09</v>
      </c>
      <c r="K578" s="152">
        <f>ROUND(J578*E578,2)</f>
        <v>11274.99</v>
      </c>
      <c r="L578" s="178"/>
      <c r="M578" s="139">
        <v>1</v>
      </c>
      <c r="N578" s="139">
        <v>10249.93</v>
      </c>
      <c r="O578" s="139"/>
      <c r="P578" s="37">
        <f>Q578+Q578*R578+S578+T578+U578</f>
        <v>797.35</v>
      </c>
      <c r="Q578" s="71">
        <v>580</v>
      </c>
      <c r="R578" s="157">
        <v>0.03</v>
      </c>
      <c r="S578" s="71">
        <v>75</v>
      </c>
      <c r="T578" s="71">
        <v>123.75</v>
      </c>
      <c r="U578" s="71">
        <v>1.2</v>
      </c>
      <c r="V578" s="37">
        <f>P578*E578</f>
        <v>10249.93425</v>
      </c>
      <c r="W578" s="139"/>
      <c r="X578" s="139"/>
      <c r="Y578" s="139"/>
      <c r="Z578" s="139"/>
      <c r="AA578" s="139"/>
      <c r="AB578" s="139"/>
      <c r="AC578" s="139"/>
      <c r="AD578" s="139"/>
      <c r="AE578" s="139"/>
      <c r="AF578" s="140"/>
      <c r="AG578" s="140"/>
      <c r="AH578" s="140"/>
      <c r="AI578" s="140"/>
      <c r="AJ578" s="140"/>
      <c r="AK578" s="140"/>
      <c r="AL578" s="140"/>
      <c r="AM578" s="140"/>
      <c r="AN578" s="140"/>
      <c r="AO578" s="140"/>
      <c r="AP578" s="140"/>
      <c r="AQ578" s="140"/>
      <c r="AR578" s="140"/>
      <c r="AS578" s="140"/>
      <c r="AT578" s="140"/>
      <c r="AU578" s="140"/>
      <c r="AV578" s="140"/>
      <c r="AW578" s="140"/>
      <c r="AX578" s="140"/>
      <c r="AY578" s="140"/>
      <c r="AZ578" s="140"/>
      <c r="BA578" s="140"/>
      <c r="BB578" s="140"/>
      <c r="BC578" s="140"/>
      <c r="BD578" s="140"/>
      <c r="BE578" s="140"/>
    </row>
    <row r="579" s="119" customFormat="1" ht="36" customHeight="1" outlineLevel="2" spans="1:57">
      <c r="A579" s="145">
        <f>1+N(A578)</f>
        <v>2</v>
      </c>
      <c r="B579" s="146" t="s">
        <v>328</v>
      </c>
      <c r="C579" s="147" t="s">
        <v>329</v>
      </c>
      <c r="D579" s="148" t="s">
        <v>63</v>
      </c>
      <c r="E579" s="149">
        <v>37.096</v>
      </c>
      <c r="F579" s="149">
        <f>S579*$S$1</f>
        <v>95</v>
      </c>
      <c r="G579" s="149">
        <f>Q579*(1+R579)*$Q$1</f>
        <v>132</v>
      </c>
      <c r="H579" s="149">
        <f>(T579+U579)*$T$1</f>
        <v>54.7</v>
      </c>
      <c r="I579" s="150">
        <f>(F579+G579+H579)*$I$3</f>
        <v>28.17</v>
      </c>
      <c r="J579" s="151">
        <f>ROUND(SUM(F579:I579),2)</f>
        <v>309.87</v>
      </c>
      <c r="K579" s="152">
        <f>ROUND(J579*E579,2)</f>
        <v>11494.94</v>
      </c>
      <c r="L579" s="178"/>
      <c r="M579" s="139">
        <v>1</v>
      </c>
      <c r="N579" s="139">
        <v>10449.94</v>
      </c>
      <c r="O579" s="139"/>
      <c r="P579" s="37">
        <f>Q579+Q579*R579+S579+T579+U579</f>
        <v>281.7</v>
      </c>
      <c r="Q579" s="71">
        <v>120</v>
      </c>
      <c r="R579" s="157">
        <v>0.1</v>
      </c>
      <c r="S579" s="71">
        <v>95</v>
      </c>
      <c r="T579" s="71">
        <v>53.5</v>
      </c>
      <c r="U579" s="71">
        <v>1.2</v>
      </c>
      <c r="V579" s="37">
        <f>P579*E579</f>
        <v>10449.9432</v>
      </c>
      <c r="W579" s="139"/>
      <c r="X579" s="139"/>
      <c r="Y579" s="139"/>
      <c r="Z579" s="139"/>
      <c r="AA579" s="139"/>
      <c r="AB579" s="139"/>
      <c r="AC579" s="139"/>
      <c r="AD579" s="139"/>
      <c r="AE579" s="139"/>
      <c r="AF579" s="140"/>
      <c r="AG579" s="140"/>
      <c r="AH579" s="140"/>
      <c r="AI579" s="140"/>
      <c r="AJ579" s="140"/>
      <c r="AK579" s="140"/>
      <c r="AL579" s="140"/>
      <c r="AM579" s="140"/>
      <c r="AN579" s="140"/>
      <c r="AO579" s="140"/>
      <c r="AP579" s="140"/>
      <c r="AQ579" s="140"/>
      <c r="AR579" s="140"/>
      <c r="AS579" s="140"/>
      <c r="AT579" s="140"/>
      <c r="AU579" s="140"/>
      <c r="AV579" s="140"/>
      <c r="AW579" s="140"/>
      <c r="AX579" s="140"/>
      <c r="AY579" s="140"/>
      <c r="AZ579" s="140"/>
      <c r="BA579" s="140"/>
      <c r="BB579" s="140"/>
      <c r="BC579" s="140"/>
      <c r="BD579" s="140"/>
      <c r="BE579" s="140"/>
    </row>
    <row r="580" s="119" customFormat="1" ht="48" customHeight="1" outlineLevel="2" spans="1:57">
      <c r="A580" s="162">
        <f>1+N(A579)</f>
        <v>3</v>
      </c>
      <c r="B580" s="14" t="s">
        <v>82</v>
      </c>
      <c r="C580" s="15" t="s">
        <v>83</v>
      </c>
      <c r="D580" s="142" t="s">
        <v>63</v>
      </c>
      <c r="E580" s="143">
        <f>1.12*3.4*2+1.15*3.88</f>
        <v>12.078</v>
      </c>
      <c r="F580" s="143">
        <f>$F$17</f>
        <v>110</v>
      </c>
      <c r="G580" s="143">
        <f>$G$17</f>
        <v>454.5</v>
      </c>
      <c r="H580" s="143">
        <f>$H$17</f>
        <v>55.2</v>
      </c>
      <c r="I580" s="17">
        <f>(F580+G580+H580)*$I$3</f>
        <v>61.97</v>
      </c>
      <c r="J580" s="18">
        <f>ROUND(SUM(F580:I580),2)</f>
        <v>681.67</v>
      </c>
      <c r="K580" s="19">
        <f>ROUND(J580*E580,2)</f>
        <v>8233.21</v>
      </c>
      <c r="L580" s="178"/>
      <c r="M580" s="139">
        <v>1</v>
      </c>
      <c r="N580" s="139">
        <v>7484.74</v>
      </c>
      <c r="O580" s="139"/>
      <c r="P580" s="37">
        <f>Q580+Q580*R580+S580+T580+U580</f>
        <v>619.7</v>
      </c>
      <c r="Q580" s="99">
        <f>$Q$17</f>
        <v>450</v>
      </c>
      <c r="R580" s="163">
        <f>$R$17</f>
        <v>0.01</v>
      </c>
      <c r="S580" s="99">
        <f>$S$17</f>
        <v>110</v>
      </c>
      <c r="T580" s="99">
        <f>$T$17</f>
        <v>54</v>
      </c>
      <c r="U580" s="99">
        <f>$U$17</f>
        <v>1.2</v>
      </c>
      <c r="V580" s="37">
        <f>P580*E580</f>
        <v>7484.7366</v>
      </c>
      <c r="W580" s="139"/>
      <c r="X580" s="139"/>
      <c r="Y580" s="139"/>
      <c r="Z580" s="139"/>
      <c r="AA580" s="139"/>
      <c r="AB580" s="139"/>
      <c r="AC580" s="139"/>
      <c r="AD580" s="139"/>
      <c r="AE580" s="139"/>
      <c r="AF580" s="140"/>
      <c r="AG580" s="140"/>
      <c r="AH580" s="140"/>
      <c r="AI580" s="140"/>
      <c r="AJ580" s="140"/>
      <c r="AK580" s="140"/>
      <c r="AL580" s="140"/>
      <c r="AM580" s="140"/>
      <c r="AN580" s="140"/>
      <c r="AO580" s="140"/>
      <c r="AP580" s="140"/>
      <c r="AQ580" s="140"/>
      <c r="AR580" s="140"/>
      <c r="AS580" s="140"/>
      <c r="AT580" s="140"/>
      <c r="AU580" s="140"/>
      <c r="AV580" s="140"/>
      <c r="AW580" s="140"/>
      <c r="AX580" s="140"/>
      <c r="AY580" s="140"/>
      <c r="AZ580" s="140"/>
      <c r="BA580" s="140"/>
      <c r="BB580" s="140"/>
      <c r="BC580" s="140"/>
      <c r="BD580" s="140"/>
      <c r="BE580" s="140"/>
    </row>
    <row r="581" s="119" customFormat="1" ht="36" customHeight="1" outlineLevel="2" spans="1:57">
      <c r="A581" s="162">
        <f>1+N(A580)</f>
        <v>4</v>
      </c>
      <c r="B581" s="14" t="s">
        <v>239</v>
      </c>
      <c r="C581" s="15" t="s">
        <v>240</v>
      </c>
      <c r="D581" s="165" t="s">
        <v>63</v>
      </c>
      <c r="E581" s="143">
        <f>8.06*0.095</f>
        <v>0.7657</v>
      </c>
      <c r="F581" s="143">
        <f>$F$356</f>
        <v>110</v>
      </c>
      <c r="G581" s="143">
        <f>$G$356</f>
        <v>454.5</v>
      </c>
      <c r="H581" s="143">
        <f>$H$356</f>
        <v>55.2</v>
      </c>
      <c r="I581" s="17">
        <f>(F581+G581+H581)*$I$3</f>
        <v>61.97</v>
      </c>
      <c r="J581" s="18">
        <f>ROUND(SUM(F581:I581),2)</f>
        <v>681.67</v>
      </c>
      <c r="K581" s="19">
        <f>ROUND(J581*E581,2)</f>
        <v>521.95</v>
      </c>
      <c r="L581" s="178"/>
      <c r="M581" s="139">
        <v>1</v>
      </c>
      <c r="N581" s="139">
        <v>474.5</v>
      </c>
      <c r="O581" s="139"/>
      <c r="P581" s="37">
        <f>Q581+Q581*R581+S581+T581+U581</f>
        <v>619.7</v>
      </c>
      <c r="Q581" s="99">
        <f>$Q$356</f>
        <v>450</v>
      </c>
      <c r="R581" s="163">
        <f>$R$356</f>
        <v>0.01</v>
      </c>
      <c r="S581" s="99">
        <f>$S$356</f>
        <v>110</v>
      </c>
      <c r="T581" s="99">
        <f>$T$356</f>
        <v>54</v>
      </c>
      <c r="U581" s="99">
        <f>$U$356</f>
        <v>1.2</v>
      </c>
      <c r="V581" s="37">
        <f>P581*E581</f>
        <v>474.50429</v>
      </c>
      <c r="W581" s="139"/>
      <c r="X581" s="139"/>
      <c r="Y581" s="139"/>
      <c r="Z581" s="139"/>
      <c r="AA581" s="139"/>
      <c r="AB581" s="139"/>
      <c r="AC581" s="139"/>
      <c r="AD581" s="139"/>
      <c r="AE581" s="139"/>
      <c r="AF581" s="140"/>
      <c r="AG581" s="140"/>
      <c r="AH581" s="140"/>
      <c r="AI581" s="140"/>
      <c r="AJ581" s="140"/>
      <c r="AK581" s="140"/>
      <c r="AL581" s="140"/>
      <c r="AM581" s="140"/>
      <c r="AN581" s="140"/>
      <c r="AO581" s="140"/>
      <c r="AP581" s="140"/>
      <c r="AQ581" s="140"/>
      <c r="AR581" s="140"/>
      <c r="AS581" s="140"/>
      <c r="AT581" s="140"/>
      <c r="AU581" s="140"/>
      <c r="AV581" s="140"/>
      <c r="AW581" s="140"/>
      <c r="AX581" s="140"/>
      <c r="AY581" s="140"/>
      <c r="AZ581" s="140"/>
      <c r="BA581" s="140"/>
      <c r="BB581" s="140"/>
      <c r="BC581" s="140"/>
      <c r="BD581" s="140"/>
      <c r="BE581" s="140"/>
    </row>
    <row r="582" s="119" customFormat="1" ht="24" customHeight="1" outlineLevel="1" spans="1:57">
      <c r="A582" s="141"/>
      <c r="B582" s="14" t="s">
        <v>101</v>
      </c>
      <c r="C582" s="15"/>
      <c r="D582" s="142"/>
      <c r="E582" s="143"/>
      <c r="F582" s="143"/>
      <c r="G582" s="143"/>
      <c r="H582" s="143"/>
      <c r="I582" s="143"/>
      <c r="J582" s="143"/>
      <c r="K582" s="144"/>
      <c r="L582" s="178"/>
      <c r="M582" s="139"/>
      <c r="N582" s="139"/>
      <c r="O582" s="139"/>
      <c r="P582" s="137"/>
      <c r="Q582" s="137"/>
      <c r="R582" s="138"/>
      <c r="S582" s="137"/>
      <c r="T582" s="137"/>
      <c r="U582" s="137"/>
      <c r="V582" s="137"/>
      <c r="W582" s="139"/>
      <c r="X582" s="139"/>
      <c r="Y582" s="139"/>
      <c r="Z582" s="139"/>
      <c r="AA582" s="139"/>
      <c r="AB582" s="139"/>
      <c r="AC582" s="139"/>
      <c r="AD582" s="139"/>
      <c r="AE582" s="139"/>
      <c r="AF582" s="140"/>
      <c r="AG582" s="140"/>
      <c r="AH582" s="140"/>
      <c r="AI582" s="140"/>
      <c r="AJ582" s="140"/>
      <c r="AK582" s="140"/>
      <c r="AL582" s="140"/>
      <c r="AM582" s="140"/>
      <c r="AN582" s="140"/>
      <c r="AO582" s="140"/>
      <c r="AP582" s="140"/>
      <c r="AQ582" s="140"/>
      <c r="AR582" s="140"/>
      <c r="AS582" s="140"/>
      <c r="AT582" s="140"/>
      <c r="AU582" s="140"/>
      <c r="AV582" s="140"/>
      <c r="AW582" s="140"/>
      <c r="AX582" s="140"/>
      <c r="AY582" s="140"/>
      <c r="AZ582" s="140"/>
      <c r="BA582" s="140"/>
      <c r="BB582" s="140"/>
      <c r="BC582" s="140"/>
      <c r="BD582" s="140"/>
      <c r="BE582" s="140"/>
    </row>
    <row r="583" s="119" customFormat="1" ht="96" customHeight="1" outlineLevel="2" spans="1:57">
      <c r="A583" s="162">
        <f t="shared" ref="A583:A588" si="165">1+N(A582)</f>
        <v>1</v>
      </c>
      <c r="B583" s="14" t="s">
        <v>102</v>
      </c>
      <c r="C583" s="167" t="s">
        <v>103</v>
      </c>
      <c r="D583" s="142" t="s">
        <v>63</v>
      </c>
      <c r="E583" s="143">
        <v>24.35</v>
      </c>
      <c r="F583" s="143">
        <f>$F$28</f>
        <v>70</v>
      </c>
      <c r="G583" s="143">
        <f>$G$28</f>
        <v>0</v>
      </c>
      <c r="H583" s="143">
        <f>$H$28</f>
        <v>66.711</v>
      </c>
      <c r="I583" s="17">
        <f t="shared" ref="I583:I588" si="166">(F583+G583+H583)*$I$3</f>
        <v>13.6711</v>
      </c>
      <c r="J583" s="18">
        <f t="shared" ref="J583:J588" si="167">ROUND(SUM(F583:I583),2)</f>
        <v>150.38</v>
      </c>
      <c r="K583" s="19">
        <f t="shared" ref="K583:K588" si="168">ROUND(J583*E583,2)</f>
        <v>3661.75</v>
      </c>
      <c r="L583" s="178"/>
      <c r="M583" s="139">
        <v>1</v>
      </c>
      <c r="N583" s="139">
        <v>3328.89</v>
      </c>
      <c r="O583" s="139"/>
      <c r="P583" s="37">
        <f t="shared" ref="P583:P588" si="169">Q583+Q583*R583+S583+T583+U583</f>
        <v>136.711</v>
      </c>
      <c r="Q583" s="99">
        <f>$Q$28</f>
        <v>0</v>
      </c>
      <c r="R583" s="163">
        <f>$R$28</f>
        <v>0.01</v>
      </c>
      <c r="S583" s="99">
        <f>$S$28</f>
        <v>70</v>
      </c>
      <c r="T583" s="99">
        <f>$T$28</f>
        <v>64.711</v>
      </c>
      <c r="U583" s="99">
        <f>$U$28</f>
        <v>2</v>
      </c>
      <c r="V583" s="37">
        <f t="shared" ref="V583:V588" si="170">P583*E583</f>
        <v>3328.91285</v>
      </c>
      <c r="W583" s="139"/>
      <c r="X583" s="139"/>
      <c r="Y583" s="139"/>
      <c r="Z583" s="139"/>
      <c r="AA583" s="139"/>
      <c r="AB583" s="139"/>
      <c r="AC583" s="139"/>
      <c r="AD583" s="139"/>
      <c r="AE583" s="139"/>
      <c r="AF583" s="140"/>
      <c r="AG583" s="140"/>
      <c r="AH583" s="140"/>
      <c r="AI583" s="140"/>
      <c r="AJ583" s="140"/>
      <c r="AK583" s="140"/>
      <c r="AL583" s="140"/>
      <c r="AM583" s="140"/>
      <c r="AN583" s="140"/>
      <c r="AO583" s="140"/>
      <c r="AP583" s="140"/>
      <c r="AQ583" s="140"/>
      <c r="AR583" s="140"/>
      <c r="AS583" s="140"/>
      <c r="AT583" s="140"/>
      <c r="AU583" s="140"/>
      <c r="AV583" s="140"/>
      <c r="AW583" s="140"/>
      <c r="AX583" s="140"/>
      <c r="AY583" s="140"/>
      <c r="AZ583" s="140"/>
      <c r="BA583" s="140"/>
      <c r="BB583" s="140"/>
      <c r="BC583" s="140"/>
      <c r="BD583" s="140"/>
      <c r="BE583" s="140"/>
    </row>
    <row r="584" s="119" customFormat="1" ht="72" customHeight="1" outlineLevel="2" spans="1:57">
      <c r="A584" s="162">
        <f t="shared" si="165"/>
        <v>2</v>
      </c>
      <c r="B584" s="14" t="s">
        <v>104</v>
      </c>
      <c r="C584" s="15" t="s">
        <v>105</v>
      </c>
      <c r="D584" s="142" t="s">
        <v>70</v>
      </c>
      <c r="E584" s="143">
        <v>15.1</v>
      </c>
      <c r="F584" s="143">
        <f>$F$29</f>
        <v>50</v>
      </c>
      <c r="G584" s="143">
        <f>$G$29</f>
        <v>0</v>
      </c>
      <c r="H584" s="143">
        <f>$H$29</f>
        <v>22.0941</v>
      </c>
      <c r="I584" s="17">
        <f t="shared" si="166"/>
        <v>7.20941</v>
      </c>
      <c r="J584" s="18">
        <f t="shared" si="167"/>
        <v>79.3</v>
      </c>
      <c r="K584" s="19">
        <f t="shared" si="168"/>
        <v>1197.43</v>
      </c>
      <c r="L584" s="178"/>
      <c r="M584" s="139">
        <v>1</v>
      </c>
      <c r="N584" s="139">
        <v>1088.56</v>
      </c>
      <c r="O584" s="139"/>
      <c r="P584" s="37">
        <f t="shared" si="169"/>
        <v>72.0941</v>
      </c>
      <c r="Q584" s="99">
        <f>$Q$29</f>
        <v>0</v>
      </c>
      <c r="R584" s="163">
        <f>$R$29</f>
        <v>0.01</v>
      </c>
      <c r="S584" s="99">
        <f>$S$29</f>
        <v>50</v>
      </c>
      <c r="T584" s="99">
        <f>$T$29</f>
        <v>22.0941</v>
      </c>
      <c r="U584" s="99">
        <f>$U$29</f>
        <v>0</v>
      </c>
      <c r="V584" s="37">
        <f t="shared" si="170"/>
        <v>1088.62091</v>
      </c>
      <c r="W584" s="139"/>
      <c r="X584" s="139"/>
      <c r="Y584" s="139"/>
      <c r="Z584" s="139"/>
      <c r="AA584" s="139"/>
      <c r="AB584" s="139"/>
      <c r="AC584" s="139"/>
      <c r="AD584" s="139"/>
      <c r="AE584" s="139"/>
      <c r="AF584" s="140"/>
      <c r="AG584" s="140"/>
      <c r="AH584" s="140"/>
      <c r="AI584" s="140"/>
      <c r="AJ584" s="140"/>
      <c r="AK584" s="140"/>
      <c r="AL584" s="140"/>
      <c r="AM584" s="140"/>
      <c r="AN584" s="140"/>
      <c r="AO584" s="140"/>
      <c r="AP584" s="140"/>
      <c r="AQ584" s="140"/>
      <c r="AR584" s="140"/>
      <c r="AS584" s="140"/>
      <c r="AT584" s="140"/>
      <c r="AU584" s="140"/>
      <c r="AV584" s="140"/>
      <c r="AW584" s="140"/>
      <c r="AX584" s="140"/>
      <c r="AY584" s="140"/>
      <c r="AZ584" s="140"/>
      <c r="BA584" s="140"/>
      <c r="BB584" s="140"/>
      <c r="BC584" s="140"/>
      <c r="BD584" s="140"/>
      <c r="BE584" s="140"/>
    </row>
    <row r="585" s="119" customFormat="1" ht="72" customHeight="1" outlineLevel="2" spans="1:57">
      <c r="A585" s="162">
        <f t="shared" si="165"/>
        <v>3</v>
      </c>
      <c r="B585" s="14" t="s">
        <v>106</v>
      </c>
      <c r="C585" s="15" t="s">
        <v>107</v>
      </c>
      <c r="D585" s="142" t="s">
        <v>70</v>
      </c>
      <c r="E585" s="143">
        <v>15.1</v>
      </c>
      <c r="F585" s="143">
        <f>$F$30</f>
        <v>18</v>
      </c>
      <c r="G585" s="143">
        <f>$G$30</f>
        <v>163.255</v>
      </c>
      <c r="H585" s="143">
        <f>$H$30</f>
        <v>3.8</v>
      </c>
      <c r="I585" s="17">
        <f t="shared" si="166"/>
        <v>18.5055</v>
      </c>
      <c r="J585" s="18">
        <f t="shared" si="167"/>
        <v>203.56</v>
      </c>
      <c r="K585" s="19">
        <f t="shared" si="168"/>
        <v>3073.76</v>
      </c>
      <c r="L585" s="178"/>
      <c r="M585" s="139">
        <v>1</v>
      </c>
      <c r="N585" s="139">
        <v>2794.41</v>
      </c>
      <c r="O585" s="139"/>
      <c r="P585" s="37">
        <f t="shared" si="169"/>
        <v>185.055</v>
      </c>
      <c r="Q585" s="99">
        <f>$Q$30</f>
        <v>158.5</v>
      </c>
      <c r="R585" s="163">
        <f>$R$30</f>
        <v>0.03</v>
      </c>
      <c r="S585" s="99">
        <f>$S$30</f>
        <v>18</v>
      </c>
      <c r="T585" s="99">
        <f>$T$30</f>
        <v>3.5</v>
      </c>
      <c r="U585" s="99">
        <f>$U$30</f>
        <v>0.3</v>
      </c>
      <c r="V585" s="37">
        <f t="shared" si="170"/>
        <v>2794.3305</v>
      </c>
      <c r="W585" s="139"/>
      <c r="X585" s="139"/>
      <c r="Y585" s="139"/>
      <c r="Z585" s="139"/>
      <c r="AA585" s="139"/>
      <c r="AB585" s="139"/>
      <c r="AC585" s="139"/>
      <c r="AD585" s="139"/>
      <c r="AE585" s="139"/>
      <c r="AF585" s="140"/>
      <c r="AG585" s="140"/>
      <c r="AH585" s="140"/>
      <c r="AI585" s="140"/>
      <c r="AJ585" s="140"/>
      <c r="AK585" s="140"/>
      <c r="AL585" s="140"/>
      <c r="AM585" s="140"/>
      <c r="AN585" s="140"/>
      <c r="AO585" s="140"/>
      <c r="AP585" s="140"/>
      <c r="AQ585" s="140"/>
      <c r="AR585" s="140"/>
      <c r="AS585" s="140"/>
      <c r="AT585" s="140"/>
      <c r="AU585" s="140"/>
      <c r="AV585" s="140"/>
      <c r="AW585" s="140"/>
      <c r="AX585" s="140"/>
      <c r="AY585" s="140"/>
      <c r="AZ585" s="140"/>
      <c r="BA585" s="140"/>
      <c r="BB585" s="140"/>
      <c r="BC585" s="140"/>
      <c r="BD585" s="140"/>
      <c r="BE585" s="140"/>
    </row>
    <row r="586" s="119" customFormat="1" ht="72" customHeight="1" outlineLevel="2" spans="1:57">
      <c r="A586" s="162">
        <f t="shared" si="165"/>
        <v>4</v>
      </c>
      <c r="B586" s="14" t="s">
        <v>268</v>
      </c>
      <c r="C586" s="15" t="s">
        <v>269</v>
      </c>
      <c r="D586" s="142" t="s">
        <v>70</v>
      </c>
      <c r="E586" s="143">
        <v>4.65</v>
      </c>
      <c r="F586" s="143">
        <f>$F$472</f>
        <v>55</v>
      </c>
      <c r="G586" s="143">
        <f>$G$472</f>
        <v>0</v>
      </c>
      <c r="H586" s="143">
        <f>$H$472</f>
        <v>29.6688</v>
      </c>
      <c r="I586" s="17">
        <f t="shared" si="166"/>
        <v>8.46688</v>
      </c>
      <c r="J586" s="18">
        <f t="shared" si="167"/>
        <v>93.14</v>
      </c>
      <c r="K586" s="19">
        <f t="shared" si="168"/>
        <v>433.1</v>
      </c>
      <c r="L586" s="178"/>
      <c r="M586" s="139">
        <v>1</v>
      </c>
      <c r="N586" s="139">
        <v>393.72</v>
      </c>
      <c r="O586" s="139"/>
      <c r="P586" s="37">
        <f t="shared" si="169"/>
        <v>84.6688</v>
      </c>
      <c r="Q586" s="99">
        <f>$Q$472</f>
        <v>0</v>
      </c>
      <c r="R586" s="163">
        <f>$R$472</f>
        <v>0.01</v>
      </c>
      <c r="S586" s="99">
        <f>$S$472</f>
        <v>55</v>
      </c>
      <c r="T586" s="99">
        <f>$T$472</f>
        <v>29.6688</v>
      </c>
      <c r="U586" s="99">
        <f>$U$472</f>
        <v>0</v>
      </c>
      <c r="V586" s="37">
        <f t="shared" si="170"/>
        <v>393.70992</v>
      </c>
      <c r="W586" s="139"/>
      <c r="X586" s="139"/>
      <c r="Y586" s="139"/>
      <c r="Z586" s="139"/>
      <c r="AA586" s="139"/>
      <c r="AB586" s="139"/>
      <c r="AC586" s="139"/>
      <c r="AD586" s="139"/>
      <c r="AE586" s="139"/>
      <c r="AF586" s="140"/>
      <c r="AG586" s="140"/>
      <c r="AH586" s="140"/>
      <c r="AI586" s="140"/>
      <c r="AJ586" s="140"/>
      <c r="AK586" s="140"/>
      <c r="AL586" s="140"/>
      <c r="AM586" s="140"/>
      <c r="AN586" s="140"/>
      <c r="AO586" s="140"/>
      <c r="AP586" s="140"/>
      <c r="AQ586" s="140"/>
      <c r="AR586" s="140"/>
      <c r="AS586" s="140"/>
      <c r="AT586" s="140"/>
      <c r="AU586" s="140"/>
      <c r="AV586" s="140"/>
      <c r="AW586" s="140"/>
      <c r="AX586" s="140"/>
      <c r="AY586" s="140"/>
      <c r="AZ586" s="140"/>
      <c r="BA586" s="140"/>
      <c r="BB586" s="140"/>
      <c r="BC586" s="140"/>
      <c r="BD586" s="140"/>
      <c r="BE586" s="140"/>
    </row>
    <row r="587" s="119" customFormat="1" ht="72" customHeight="1" outlineLevel="2" spans="1:57">
      <c r="A587" s="162">
        <f t="shared" si="165"/>
        <v>5</v>
      </c>
      <c r="B587" s="14" t="s">
        <v>108</v>
      </c>
      <c r="C587" s="15" t="s">
        <v>109</v>
      </c>
      <c r="D587" s="142" t="s">
        <v>70</v>
      </c>
      <c r="E587" s="143">
        <f>1.2*2*1</f>
        <v>2.4</v>
      </c>
      <c r="F587" s="143">
        <f>$F$31</f>
        <v>30</v>
      </c>
      <c r="G587" s="143">
        <f>$G$31</f>
        <v>65.6625</v>
      </c>
      <c r="H587" s="143">
        <f>$H$31</f>
        <v>2.7</v>
      </c>
      <c r="I587" s="17">
        <f t="shared" si="166"/>
        <v>9.83625</v>
      </c>
      <c r="J587" s="18">
        <f t="shared" si="167"/>
        <v>108.2</v>
      </c>
      <c r="K587" s="19">
        <f t="shared" si="168"/>
        <v>259.68</v>
      </c>
      <c r="L587" s="178"/>
      <c r="M587" s="139">
        <v>1</v>
      </c>
      <c r="N587" s="139">
        <v>236.06</v>
      </c>
      <c r="O587" s="139"/>
      <c r="P587" s="37">
        <f t="shared" si="169"/>
        <v>98.3625</v>
      </c>
      <c r="Q587" s="99">
        <f>$Q$31</f>
        <v>63.75</v>
      </c>
      <c r="R587" s="163">
        <f>$R$31</f>
        <v>0.03</v>
      </c>
      <c r="S587" s="99">
        <f>$S$31</f>
        <v>30</v>
      </c>
      <c r="T587" s="99">
        <f>$T$31</f>
        <v>2.5</v>
      </c>
      <c r="U587" s="99">
        <f>$U$31</f>
        <v>0.2</v>
      </c>
      <c r="V587" s="37">
        <f t="shared" si="170"/>
        <v>236.07</v>
      </c>
      <c r="W587" s="139"/>
      <c r="X587" s="139"/>
      <c r="Y587" s="139"/>
      <c r="Z587" s="139"/>
      <c r="AA587" s="139"/>
      <c r="AB587" s="139"/>
      <c r="AC587" s="139"/>
      <c r="AD587" s="139"/>
      <c r="AE587" s="139"/>
      <c r="AF587" s="140"/>
      <c r="AG587" s="140"/>
      <c r="AH587" s="140"/>
      <c r="AI587" s="140"/>
      <c r="AJ587" s="140"/>
      <c r="AK587" s="140"/>
      <c r="AL587" s="140"/>
      <c r="AM587" s="140"/>
      <c r="AN587" s="140"/>
      <c r="AO587" s="140"/>
      <c r="AP587" s="140"/>
      <c r="AQ587" s="140"/>
      <c r="AR587" s="140"/>
      <c r="AS587" s="140"/>
      <c r="AT587" s="140"/>
      <c r="AU587" s="140"/>
      <c r="AV587" s="140"/>
      <c r="AW587" s="140"/>
      <c r="AX587" s="140"/>
      <c r="AY587" s="140"/>
      <c r="AZ587" s="140"/>
      <c r="BA587" s="140"/>
      <c r="BB587" s="140"/>
      <c r="BC587" s="140"/>
      <c r="BD587" s="140"/>
      <c r="BE587" s="140"/>
    </row>
    <row r="588" s="119" customFormat="1" ht="72" customHeight="1" outlineLevel="2" spans="1:57">
      <c r="A588" s="162">
        <f t="shared" si="165"/>
        <v>6</v>
      </c>
      <c r="B588" s="14" t="s">
        <v>110</v>
      </c>
      <c r="C588" s="15" t="s">
        <v>111</v>
      </c>
      <c r="D588" s="142" t="s">
        <v>63</v>
      </c>
      <c r="E588" s="143">
        <f>24.35+15.1*0.3+4.65*0.4</f>
        <v>30.74</v>
      </c>
      <c r="F588" s="143">
        <f>$F$32</f>
        <v>45</v>
      </c>
      <c r="G588" s="143">
        <f>$G$32</f>
        <v>85.5</v>
      </c>
      <c r="H588" s="143">
        <f>$H$32</f>
        <v>7.3</v>
      </c>
      <c r="I588" s="17">
        <f t="shared" si="166"/>
        <v>13.78</v>
      </c>
      <c r="J588" s="18">
        <f t="shared" si="167"/>
        <v>151.58</v>
      </c>
      <c r="K588" s="19">
        <f t="shared" si="168"/>
        <v>4659.57</v>
      </c>
      <c r="L588" s="178"/>
      <c r="M588" s="139">
        <v>1</v>
      </c>
      <c r="N588" s="139">
        <v>4235.97</v>
      </c>
      <c r="O588" s="139"/>
      <c r="P588" s="37">
        <f t="shared" si="169"/>
        <v>137.8</v>
      </c>
      <c r="Q588" s="99">
        <f>$Q$32</f>
        <v>85.5</v>
      </c>
      <c r="R588" s="163">
        <f>$R$32</f>
        <v>0</v>
      </c>
      <c r="S588" s="99">
        <f>$S$32</f>
        <v>45</v>
      </c>
      <c r="T588" s="99">
        <f>$T$32</f>
        <v>6.5</v>
      </c>
      <c r="U588" s="99">
        <f>$U$32</f>
        <v>0.8</v>
      </c>
      <c r="V588" s="37">
        <f t="shared" si="170"/>
        <v>4235.972</v>
      </c>
      <c r="W588" s="139"/>
      <c r="X588" s="139"/>
      <c r="Y588" s="139"/>
      <c r="Z588" s="139"/>
      <c r="AA588" s="139"/>
      <c r="AB588" s="139"/>
      <c r="AC588" s="139"/>
      <c r="AD588" s="139"/>
      <c r="AE588" s="139"/>
      <c r="AF588" s="140"/>
      <c r="AG588" s="140"/>
      <c r="AH588" s="140"/>
      <c r="AI588" s="140"/>
      <c r="AJ588" s="140"/>
      <c r="AK588" s="140"/>
      <c r="AL588" s="140"/>
      <c r="AM588" s="140"/>
      <c r="AN588" s="140"/>
      <c r="AO588" s="140"/>
      <c r="AP588" s="140"/>
      <c r="AQ588" s="140"/>
      <c r="AR588" s="140"/>
      <c r="AS588" s="140"/>
      <c r="AT588" s="140"/>
      <c r="AU588" s="140"/>
      <c r="AV588" s="140"/>
      <c r="AW588" s="140"/>
      <c r="AX588" s="140"/>
      <c r="AY588" s="140"/>
      <c r="AZ588" s="140"/>
      <c r="BA588" s="140"/>
      <c r="BB588" s="140"/>
      <c r="BC588" s="140"/>
      <c r="BD588" s="140"/>
      <c r="BE588" s="140"/>
    </row>
    <row r="589" s="119" customFormat="1" ht="24" customHeight="1" outlineLevel="1" spans="1:57">
      <c r="A589" s="141"/>
      <c r="B589" s="14" t="s">
        <v>112</v>
      </c>
      <c r="C589" s="15"/>
      <c r="D589" s="142"/>
      <c r="E589" s="143"/>
      <c r="F589" s="143"/>
      <c r="G589" s="143"/>
      <c r="H589" s="143"/>
      <c r="I589" s="143"/>
      <c r="J589" s="143"/>
      <c r="K589" s="144"/>
      <c r="L589" s="178"/>
      <c r="M589" s="139"/>
      <c r="N589" s="139"/>
      <c r="O589" s="139"/>
      <c r="P589" s="137"/>
      <c r="Q589" s="137"/>
      <c r="R589" s="138"/>
      <c r="S589" s="137"/>
      <c r="T589" s="137"/>
      <c r="U589" s="137"/>
      <c r="V589" s="137"/>
      <c r="W589" s="139"/>
      <c r="X589" s="139"/>
      <c r="Y589" s="139"/>
      <c r="Z589" s="139"/>
      <c r="AA589" s="139"/>
      <c r="AB589" s="139"/>
      <c r="AC589" s="139"/>
      <c r="AD589" s="139"/>
      <c r="AE589" s="139"/>
      <c r="AF589" s="140"/>
      <c r="AG589" s="140"/>
      <c r="AH589" s="140"/>
      <c r="AI589" s="140"/>
      <c r="AJ589" s="140"/>
      <c r="AK589" s="140"/>
      <c r="AL589" s="140"/>
      <c r="AM589" s="140"/>
      <c r="AN589" s="140"/>
      <c r="AO589" s="140"/>
      <c r="AP589" s="140"/>
      <c r="AQ589" s="140"/>
      <c r="AR589" s="140"/>
      <c r="AS589" s="140"/>
      <c r="AT589" s="140"/>
      <c r="AU589" s="140"/>
      <c r="AV589" s="140"/>
      <c r="AW589" s="140"/>
      <c r="AX589" s="140"/>
      <c r="AY589" s="140"/>
      <c r="AZ589" s="140"/>
      <c r="BA589" s="140"/>
      <c r="BB589" s="140"/>
      <c r="BC589" s="140"/>
      <c r="BD589" s="140"/>
      <c r="BE589" s="140"/>
    </row>
    <row r="590" s="119" customFormat="1" ht="60" customHeight="1" outlineLevel="2" spans="1:57">
      <c r="A590" s="145">
        <f>1+N(A589)</f>
        <v>1</v>
      </c>
      <c r="B590" s="146" t="s">
        <v>147</v>
      </c>
      <c r="C590" s="147" t="s">
        <v>330</v>
      </c>
      <c r="D590" s="148" t="s">
        <v>63</v>
      </c>
      <c r="E590" s="149">
        <f>3.88*3.375</f>
        <v>13.095</v>
      </c>
      <c r="F590" s="149">
        <f>S590*$S$1</f>
        <v>145</v>
      </c>
      <c r="G590" s="149">
        <f>Q590*(1+R590)*$Q$1</f>
        <v>2150</v>
      </c>
      <c r="H590" s="149">
        <f>(T590+U590)*$T$1</f>
        <v>31.5</v>
      </c>
      <c r="I590" s="150">
        <f>(F590+G590+H590)*$I$3</f>
        <v>232.65</v>
      </c>
      <c r="J590" s="151">
        <f>ROUND(SUM(F590:I590),2)</f>
        <v>2559.15</v>
      </c>
      <c r="K590" s="152">
        <f>ROUND(J590*E590,2)</f>
        <v>33512.07</v>
      </c>
      <c r="L590" s="178"/>
      <c r="M590" s="139">
        <v>1</v>
      </c>
      <c r="N590" s="139">
        <v>30465.52</v>
      </c>
      <c r="O590" s="139"/>
      <c r="P590" s="37">
        <f>Q590+Q590*R590+S590+T590+U590</f>
        <v>2326.5</v>
      </c>
      <c r="Q590" s="71">
        <v>2150</v>
      </c>
      <c r="R590" s="157">
        <v>0</v>
      </c>
      <c r="S590" s="71">
        <v>145</v>
      </c>
      <c r="T590" s="71">
        <v>30</v>
      </c>
      <c r="U590" s="71">
        <v>1.5</v>
      </c>
      <c r="V590" s="37">
        <f>P590*E590</f>
        <v>30465.5175</v>
      </c>
      <c r="W590" s="139"/>
      <c r="X590" s="139"/>
      <c r="Y590" s="139"/>
      <c r="Z590" s="139"/>
      <c r="AA590" s="139"/>
      <c r="AB590" s="139"/>
      <c r="AC590" s="139"/>
      <c r="AD590" s="139"/>
      <c r="AE590" s="139"/>
      <c r="AF590" s="140"/>
      <c r="AG590" s="140"/>
      <c r="AH590" s="140"/>
      <c r="AI590" s="140"/>
      <c r="AJ590" s="140"/>
      <c r="AK590" s="140"/>
      <c r="AL590" s="140"/>
      <c r="AM590" s="140"/>
      <c r="AN590" s="140"/>
      <c r="AO590" s="140"/>
      <c r="AP590" s="140"/>
      <c r="AQ590" s="140"/>
      <c r="AR590" s="140"/>
      <c r="AS590" s="140"/>
      <c r="AT590" s="140"/>
      <c r="AU590" s="140"/>
      <c r="AV590" s="140"/>
      <c r="AW590" s="140"/>
      <c r="AX590" s="140"/>
      <c r="AY590" s="140"/>
      <c r="AZ590" s="140"/>
      <c r="BA590" s="140"/>
      <c r="BB590" s="140"/>
      <c r="BC590" s="140"/>
      <c r="BD590" s="140"/>
      <c r="BE590" s="140"/>
    </row>
    <row r="591" s="119" customFormat="1" ht="24" customHeight="1" outlineLevel="1" spans="1:57">
      <c r="A591" s="132" t="s">
        <v>149</v>
      </c>
      <c r="B591" s="8" t="s">
        <v>331</v>
      </c>
      <c r="C591" s="180"/>
      <c r="D591" s="133"/>
      <c r="E591" s="134"/>
      <c r="F591" s="134"/>
      <c r="G591" s="134"/>
      <c r="H591" s="134"/>
      <c r="I591" s="134"/>
      <c r="J591" s="134"/>
      <c r="K591" s="11"/>
      <c r="L591" s="178"/>
      <c r="M591" s="139"/>
      <c r="N591" s="139"/>
      <c r="O591" s="139" t="str">
        <f>_xlfn.DISPIMG("ID_846B6C16BCAD432A8A323076B191DC34",1)</f>
        <v>=DISPIMG("ID_846B6C16BCAD432A8A323076B191DC34",1)</v>
      </c>
      <c r="P591" s="137"/>
      <c r="Q591" s="137"/>
      <c r="R591" s="138"/>
      <c r="S591" s="137"/>
      <c r="T591" s="137"/>
      <c r="U591" s="137"/>
      <c r="V591" s="137"/>
      <c r="W591" s="139"/>
      <c r="X591" s="139"/>
      <c r="Y591" s="139"/>
      <c r="Z591" s="139"/>
      <c r="AA591" s="139"/>
      <c r="AB591" s="139"/>
      <c r="AC591" s="139"/>
      <c r="AD591" s="139"/>
      <c r="AE591" s="139"/>
      <c r="AF591" s="140"/>
      <c r="AG591" s="140"/>
      <c r="AH591" s="140"/>
      <c r="AI591" s="140"/>
      <c r="AJ591" s="140"/>
      <c r="AK591" s="140"/>
      <c r="AL591" s="140"/>
      <c r="AM591" s="140"/>
      <c r="AN591" s="140"/>
      <c r="AO591" s="140"/>
      <c r="AP591" s="140"/>
      <c r="AQ591" s="140"/>
      <c r="AR591" s="140"/>
      <c r="AS591" s="140"/>
      <c r="AT591" s="140"/>
      <c r="AU591" s="140"/>
      <c r="AV591" s="140"/>
      <c r="AW591" s="140"/>
      <c r="AX591" s="140"/>
      <c r="AY591" s="140"/>
      <c r="AZ591" s="140"/>
      <c r="BA591" s="140"/>
      <c r="BB591" s="140"/>
      <c r="BC591" s="140"/>
      <c r="BD591" s="140"/>
      <c r="BE591" s="140"/>
    </row>
    <row r="592" s="119" customFormat="1" ht="24" customHeight="1" outlineLevel="1" spans="1:57">
      <c r="A592" s="141"/>
      <c r="B592" s="14" t="s">
        <v>60</v>
      </c>
      <c r="C592" s="15"/>
      <c r="D592" s="142"/>
      <c r="E592" s="143"/>
      <c r="F592" s="143"/>
      <c r="G592" s="143"/>
      <c r="H592" s="143"/>
      <c r="I592" s="143"/>
      <c r="J592" s="143"/>
      <c r="K592" s="144"/>
      <c r="L592" s="178"/>
      <c r="M592" s="139"/>
      <c r="N592" s="139"/>
      <c r="O592" s="139"/>
      <c r="P592" s="137"/>
      <c r="Q592" s="137"/>
      <c r="R592" s="138"/>
      <c r="S592" s="137"/>
      <c r="T592" s="137"/>
      <c r="U592" s="137"/>
      <c r="V592" s="137"/>
      <c r="W592" s="139"/>
      <c r="X592" s="139"/>
      <c r="Y592" s="139"/>
      <c r="Z592" s="139"/>
      <c r="AA592" s="139"/>
      <c r="AB592" s="139"/>
      <c r="AC592" s="139"/>
      <c r="AD592" s="139"/>
      <c r="AE592" s="139"/>
      <c r="AF592" s="140"/>
      <c r="AG592" s="140"/>
      <c r="AH592" s="140"/>
      <c r="AI592" s="140"/>
      <c r="AJ592" s="140"/>
      <c r="AK592" s="140"/>
      <c r="AL592" s="140"/>
      <c r="AM592" s="140"/>
      <c r="AN592" s="140"/>
      <c r="AO592" s="140"/>
      <c r="AP592" s="140"/>
      <c r="AQ592" s="140"/>
      <c r="AR592" s="140"/>
      <c r="AS592" s="140"/>
      <c r="AT592" s="140"/>
      <c r="AU592" s="140"/>
      <c r="AV592" s="140"/>
      <c r="AW592" s="140"/>
      <c r="AX592" s="140"/>
      <c r="AY592" s="140"/>
      <c r="AZ592" s="140"/>
      <c r="BA592" s="140"/>
      <c r="BB592" s="140"/>
      <c r="BC592" s="140"/>
      <c r="BD592" s="140"/>
      <c r="BE592" s="140"/>
    </row>
    <row r="593" s="119" customFormat="1" ht="72" customHeight="1" outlineLevel="2" spans="1:57">
      <c r="A593" s="145">
        <f>1+N(A592)</f>
        <v>1</v>
      </c>
      <c r="B593" s="146" t="s">
        <v>325</v>
      </c>
      <c r="C593" s="147" t="s">
        <v>332</v>
      </c>
      <c r="D593" s="148" t="s">
        <v>63</v>
      </c>
      <c r="E593" s="149">
        <v>12.95</v>
      </c>
      <c r="F593" s="149">
        <f>S593*$S$1</f>
        <v>36</v>
      </c>
      <c r="G593" s="149">
        <f>Q593*(1+R593)*$Q$1</f>
        <v>343.375</v>
      </c>
      <c r="H593" s="149">
        <f>(T593+U593)*$T$1</f>
        <v>17.5</v>
      </c>
      <c r="I593" s="150">
        <f>(F593+G593+H593)*$I$3</f>
        <v>39.6875</v>
      </c>
      <c r="J593" s="151">
        <f>ROUND(SUM(F593:I593),2)</f>
        <v>436.56</v>
      </c>
      <c r="K593" s="152">
        <f>ROUND(J593*E593,2)</f>
        <v>5653.45</v>
      </c>
      <c r="L593" s="178"/>
      <c r="M593" s="139">
        <v>1</v>
      </c>
      <c r="N593" s="139">
        <v>5139.6</v>
      </c>
      <c r="O593" s="139"/>
      <c r="P593" s="37">
        <f>Q593+Q593*R593+S593+T593+U593</f>
        <v>396.875</v>
      </c>
      <c r="Q593" s="71">
        <v>335</v>
      </c>
      <c r="R593" s="157">
        <v>0.025</v>
      </c>
      <c r="S593" s="71">
        <v>36</v>
      </c>
      <c r="T593" s="71">
        <v>17.5</v>
      </c>
      <c r="U593" s="71"/>
      <c r="V593" s="37">
        <f>P593*E593</f>
        <v>5139.53125</v>
      </c>
      <c r="W593" s="139"/>
      <c r="X593" s="139"/>
      <c r="Y593" s="139"/>
      <c r="Z593" s="139"/>
      <c r="AA593" s="139"/>
      <c r="AB593" s="139"/>
      <c r="AC593" s="139"/>
      <c r="AD593" s="139"/>
      <c r="AE593" s="139"/>
      <c r="AF593" s="140"/>
      <c r="AG593" s="140"/>
      <c r="AH593" s="140"/>
      <c r="AI593" s="140"/>
      <c r="AJ593" s="140"/>
      <c r="AK593" s="140"/>
      <c r="AL593" s="140"/>
      <c r="AM593" s="140"/>
      <c r="AN593" s="140"/>
      <c r="AO593" s="140"/>
      <c r="AP593" s="140"/>
      <c r="AQ593" s="140"/>
      <c r="AR593" s="140"/>
      <c r="AS593" s="140"/>
      <c r="AT593" s="140"/>
      <c r="AU593" s="140"/>
      <c r="AV593" s="140"/>
      <c r="AW593" s="140"/>
      <c r="AX593" s="140"/>
      <c r="AY593" s="140"/>
      <c r="AZ593" s="140"/>
      <c r="BA593" s="140"/>
      <c r="BB593" s="140"/>
      <c r="BC593" s="140"/>
      <c r="BD593" s="140"/>
      <c r="BE593" s="140"/>
    </row>
    <row r="594" s="119" customFormat="1" ht="60" customHeight="1" outlineLevel="2" spans="1:57">
      <c r="A594" s="162">
        <f>1+N(A593)</f>
        <v>2</v>
      </c>
      <c r="B594" s="14" t="s">
        <v>168</v>
      </c>
      <c r="C594" s="15" t="s">
        <v>306</v>
      </c>
      <c r="D594" s="142" t="s">
        <v>63</v>
      </c>
      <c r="E594" s="143">
        <v>12.95</v>
      </c>
      <c r="F594" s="143">
        <f>$F$539</f>
        <v>28</v>
      </c>
      <c r="G594" s="143">
        <f>$G$539</f>
        <v>0</v>
      </c>
      <c r="H594" s="143">
        <f>$H$539</f>
        <v>31.8</v>
      </c>
      <c r="I594" s="17">
        <f>(F594+G594+H594)*$I$3</f>
        <v>5.98</v>
      </c>
      <c r="J594" s="18">
        <f>ROUND(SUM(F594:I594),2)</f>
        <v>65.78</v>
      </c>
      <c r="K594" s="19">
        <f>ROUND(J594*E594,2)</f>
        <v>851.85</v>
      </c>
      <c r="L594" s="178"/>
      <c r="M594" s="139">
        <v>1</v>
      </c>
      <c r="N594" s="139">
        <v>774.41</v>
      </c>
      <c r="O594" s="139"/>
      <c r="P594" s="37">
        <f>Q594+Q594*R594+S594+T594+U594</f>
        <v>59.8</v>
      </c>
      <c r="Q594" s="99">
        <f>$Q$539</f>
        <v>0</v>
      </c>
      <c r="R594" s="163">
        <f>$R$539</f>
        <v>0</v>
      </c>
      <c r="S594" s="99">
        <f>$S$539</f>
        <v>28</v>
      </c>
      <c r="T594" s="99">
        <f>$T$539</f>
        <v>31.5</v>
      </c>
      <c r="U594" s="99">
        <f>$U$539</f>
        <v>0.3</v>
      </c>
      <c r="V594" s="37">
        <f>P594*E594</f>
        <v>774.41</v>
      </c>
      <c r="W594" s="139"/>
      <c r="X594" s="139"/>
      <c r="Y594" s="139"/>
      <c r="Z594" s="139"/>
      <c r="AA594" s="139"/>
      <c r="AB594" s="139"/>
      <c r="AC594" s="139"/>
      <c r="AD594" s="139"/>
      <c r="AE594" s="139"/>
      <c r="AF594" s="140"/>
      <c r="AG594" s="140"/>
      <c r="AH594" s="140"/>
      <c r="AI594" s="140"/>
      <c r="AJ594" s="140"/>
      <c r="AK594" s="140"/>
      <c r="AL594" s="140"/>
      <c r="AM594" s="140"/>
      <c r="AN594" s="140"/>
      <c r="AO594" s="140"/>
      <c r="AP594" s="140"/>
      <c r="AQ594" s="140"/>
      <c r="AR594" s="140"/>
      <c r="AS594" s="140"/>
      <c r="AT594" s="140"/>
      <c r="AU594" s="140"/>
      <c r="AV594" s="140"/>
      <c r="AW594" s="140"/>
      <c r="AX594" s="140"/>
      <c r="AY594" s="140"/>
      <c r="AZ594" s="140"/>
      <c r="BA594" s="140"/>
      <c r="BB594" s="140"/>
      <c r="BC594" s="140"/>
      <c r="BD594" s="140"/>
      <c r="BE594" s="140"/>
    </row>
    <row r="595" s="119" customFormat="1" ht="36" customHeight="1" outlineLevel="2" spans="1:57">
      <c r="A595" s="162">
        <f>1+N(A594)</f>
        <v>3</v>
      </c>
      <c r="B595" s="14" t="s">
        <v>68</v>
      </c>
      <c r="C595" s="15" t="s">
        <v>69</v>
      </c>
      <c r="D595" s="142" t="s">
        <v>70</v>
      </c>
      <c r="E595" s="143">
        <v>1.45</v>
      </c>
      <c r="F595" s="143">
        <f>$F$10</f>
        <v>12</v>
      </c>
      <c r="G595" s="143">
        <f>$G$10</f>
        <v>19.57</v>
      </c>
      <c r="H595" s="143">
        <f>$H$10</f>
        <v>0.5</v>
      </c>
      <c r="I595" s="17">
        <f>(F595+G595+H595)*$I$3</f>
        <v>3.207</v>
      </c>
      <c r="J595" s="18">
        <f>ROUND(SUM(F595:I595),2)</f>
        <v>35.28</v>
      </c>
      <c r="K595" s="19">
        <f>ROUND(J595*E595,2)</f>
        <v>51.16</v>
      </c>
      <c r="L595" s="178"/>
      <c r="M595" s="139">
        <v>1</v>
      </c>
      <c r="N595" s="139">
        <v>46.5</v>
      </c>
      <c r="O595" s="139"/>
      <c r="P595" s="37">
        <f>Q595+Q595*R595+S595+T595+U595</f>
        <v>32.07</v>
      </c>
      <c r="Q595" s="99">
        <f>$Q$10</f>
        <v>19</v>
      </c>
      <c r="R595" s="163">
        <f>$R$10</f>
        <v>0.03</v>
      </c>
      <c r="S595" s="99">
        <f>$S$10</f>
        <v>12</v>
      </c>
      <c r="T595" s="99">
        <f>$T$10</f>
        <v>0.3</v>
      </c>
      <c r="U595" s="99">
        <f>$U$10</f>
        <v>0.2</v>
      </c>
      <c r="V595" s="37">
        <f>P595*E595</f>
        <v>46.5015</v>
      </c>
      <c r="W595" s="139"/>
      <c r="X595" s="139"/>
      <c r="Y595" s="139"/>
      <c r="Z595" s="139"/>
      <c r="AA595" s="139"/>
      <c r="AB595" s="139"/>
      <c r="AC595" s="139"/>
      <c r="AD595" s="139"/>
      <c r="AE595" s="139"/>
      <c r="AF595" s="140"/>
      <c r="AG595" s="140"/>
      <c r="AH595" s="140"/>
      <c r="AI595" s="140"/>
      <c r="AJ595" s="140"/>
      <c r="AK595" s="140"/>
      <c r="AL595" s="140"/>
      <c r="AM595" s="140"/>
      <c r="AN595" s="140"/>
      <c r="AO595" s="140"/>
      <c r="AP595" s="140"/>
      <c r="AQ595" s="140"/>
      <c r="AR595" s="140"/>
      <c r="AS595" s="140"/>
      <c r="AT595" s="140"/>
      <c r="AU595" s="140"/>
      <c r="AV595" s="140"/>
      <c r="AW595" s="140"/>
      <c r="AX595" s="140"/>
      <c r="AY595" s="140"/>
      <c r="AZ595" s="140"/>
      <c r="BA595" s="140"/>
      <c r="BB595" s="140"/>
      <c r="BC595" s="140"/>
      <c r="BD595" s="140"/>
      <c r="BE595" s="140"/>
    </row>
    <row r="596" s="119" customFormat="1" ht="24" customHeight="1" outlineLevel="1" spans="1:57">
      <c r="A596" s="141"/>
      <c r="B596" s="14" t="s">
        <v>73</v>
      </c>
      <c r="C596" s="15"/>
      <c r="D596" s="142"/>
      <c r="E596" s="143"/>
      <c r="F596" s="143"/>
      <c r="G596" s="143"/>
      <c r="H596" s="143"/>
      <c r="I596" s="143"/>
      <c r="J596" s="143"/>
      <c r="K596" s="144"/>
      <c r="L596" s="178"/>
      <c r="M596" s="139"/>
      <c r="N596" s="139"/>
      <c r="O596" s="139"/>
      <c r="P596" s="137"/>
      <c r="Q596" s="137"/>
      <c r="R596" s="138"/>
      <c r="S596" s="137"/>
      <c r="T596" s="137"/>
      <c r="U596" s="137"/>
      <c r="V596" s="137"/>
      <c r="W596" s="139"/>
      <c r="X596" s="139"/>
      <c r="Y596" s="139"/>
      <c r="Z596" s="139"/>
      <c r="AA596" s="139"/>
      <c r="AB596" s="139"/>
      <c r="AC596" s="139"/>
      <c r="AD596" s="139"/>
      <c r="AE596" s="139"/>
      <c r="AF596" s="140"/>
      <c r="AG596" s="140"/>
      <c r="AH596" s="140"/>
      <c r="AI596" s="140"/>
      <c r="AJ596" s="140"/>
      <c r="AK596" s="140"/>
      <c r="AL596" s="140"/>
      <c r="AM596" s="140"/>
      <c r="AN596" s="140"/>
      <c r="AO596" s="140"/>
      <c r="AP596" s="140"/>
      <c r="AQ596" s="140"/>
      <c r="AR596" s="140"/>
      <c r="AS596" s="140"/>
      <c r="AT596" s="140"/>
      <c r="AU596" s="140"/>
      <c r="AV596" s="140"/>
      <c r="AW596" s="140"/>
      <c r="AX596" s="140"/>
      <c r="AY596" s="140"/>
      <c r="AZ596" s="140"/>
      <c r="BA596" s="140"/>
      <c r="BB596" s="140"/>
      <c r="BC596" s="140"/>
      <c r="BD596" s="140"/>
      <c r="BE596" s="140"/>
    </row>
    <row r="597" s="119" customFormat="1" ht="96" customHeight="1" outlineLevel="2" spans="1:57">
      <c r="A597" s="162">
        <f>1+N(A596)</f>
        <v>1</v>
      </c>
      <c r="B597" s="164" t="s">
        <v>76</v>
      </c>
      <c r="C597" s="15" t="s">
        <v>258</v>
      </c>
      <c r="D597" s="142" t="s">
        <v>63</v>
      </c>
      <c r="E597" s="143">
        <v>29.275</v>
      </c>
      <c r="F597" s="143">
        <f>$F$459</f>
        <v>140</v>
      </c>
      <c r="G597" s="143">
        <f>$G$459</f>
        <v>682.5</v>
      </c>
      <c r="H597" s="143">
        <f>$H$459</f>
        <v>113.55</v>
      </c>
      <c r="I597" s="17">
        <f>(F597+G597+H597)*$I$3</f>
        <v>93.605</v>
      </c>
      <c r="J597" s="18">
        <f>ROUND(SUM(F597:I597),2)</f>
        <v>1029.66</v>
      </c>
      <c r="K597" s="19">
        <f>ROUND(J597*E597,2)</f>
        <v>30143.3</v>
      </c>
      <c r="L597" s="178"/>
      <c r="M597" s="139">
        <v>1</v>
      </c>
      <c r="N597" s="139">
        <v>27402.86</v>
      </c>
      <c r="O597" s="139"/>
      <c r="P597" s="37">
        <f>Q597+Q597*R597+S597+T597+U597</f>
        <v>936.05</v>
      </c>
      <c r="Q597" s="99">
        <f>$Q$459</f>
        <v>650</v>
      </c>
      <c r="R597" s="163">
        <f>$R$459</f>
        <v>0.05</v>
      </c>
      <c r="S597" s="99">
        <f>$S$459</f>
        <v>140</v>
      </c>
      <c r="T597" s="99">
        <f>$T$459</f>
        <v>111.75</v>
      </c>
      <c r="U597" s="99">
        <f>$U$459</f>
        <v>1.8</v>
      </c>
      <c r="V597" s="37">
        <f>P597*E597</f>
        <v>27402.86375</v>
      </c>
      <c r="W597" s="139"/>
      <c r="X597" s="139"/>
      <c r="Y597" s="139"/>
      <c r="Z597" s="139"/>
      <c r="AA597" s="139"/>
      <c r="AB597" s="139"/>
      <c r="AC597" s="139"/>
      <c r="AD597" s="139"/>
      <c r="AE597" s="139"/>
      <c r="AF597" s="140"/>
      <c r="AG597" s="140"/>
      <c r="AH597" s="140"/>
      <c r="AI597" s="140"/>
      <c r="AJ597" s="140"/>
      <c r="AK597" s="140"/>
      <c r="AL597" s="140"/>
      <c r="AM597" s="140"/>
      <c r="AN597" s="140"/>
      <c r="AO597" s="140"/>
      <c r="AP597" s="140"/>
      <c r="AQ597" s="140"/>
      <c r="AR597" s="140"/>
      <c r="AS597" s="140"/>
      <c r="AT597" s="140"/>
      <c r="AU597" s="140"/>
      <c r="AV597" s="140"/>
      <c r="AW597" s="140"/>
      <c r="AX597" s="140"/>
      <c r="AY597" s="140"/>
      <c r="AZ597" s="140"/>
      <c r="BA597" s="140"/>
      <c r="BB597" s="140"/>
      <c r="BC597" s="140"/>
      <c r="BD597" s="140"/>
      <c r="BE597" s="140"/>
    </row>
    <row r="598" s="119" customFormat="1" ht="96" customHeight="1" outlineLevel="2" spans="1:57">
      <c r="A598" s="162">
        <f>1+N(A597)</f>
        <v>2</v>
      </c>
      <c r="B598" s="14" t="s">
        <v>78</v>
      </c>
      <c r="C598" s="15" t="s">
        <v>259</v>
      </c>
      <c r="D598" s="142" t="s">
        <v>63</v>
      </c>
      <c r="E598" s="143">
        <v>11.586</v>
      </c>
      <c r="F598" s="143">
        <f>$F$460</f>
        <v>140</v>
      </c>
      <c r="G598" s="143">
        <f>$G$460</f>
        <v>813.75</v>
      </c>
      <c r="H598" s="143">
        <f>$H$460</f>
        <v>113.55</v>
      </c>
      <c r="I598" s="17">
        <f>(F598+G598+H598)*$I$3</f>
        <v>106.73</v>
      </c>
      <c r="J598" s="18">
        <f>ROUND(SUM(F598:I598),2)</f>
        <v>1174.03</v>
      </c>
      <c r="K598" s="19">
        <f>ROUND(J598*E598,2)</f>
        <v>13602.31</v>
      </c>
      <c r="L598" s="178"/>
      <c r="M598" s="139">
        <v>1</v>
      </c>
      <c r="N598" s="139">
        <v>12365.74</v>
      </c>
      <c r="O598" s="139"/>
      <c r="P598" s="37">
        <f>Q598+Q598*R598+S598+T598+U598</f>
        <v>1067.3</v>
      </c>
      <c r="Q598" s="99">
        <f>$Q$460</f>
        <v>775</v>
      </c>
      <c r="R598" s="163">
        <f>$R$460</f>
        <v>0.05</v>
      </c>
      <c r="S598" s="99">
        <f>$S$460</f>
        <v>140</v>
      </c>
      <c r="T598" s="99">
        <f>$T$460</f>
        <v>111.75</v>
      </c>
      <c r="U598" s="99">
        <f>$U$460</f>
        <v>1.8</v>
      </c>
      <c r="V598" s="37">
        <f>P598*E598</f>
        <v>12365.7378</v>
      </c>
      <c r="W598" s="139"/>
      <c r="X598" s="139"/>
      <c r="Y598" s="139"/>
      <c r="Z598" s="139"/>
      <c r="AA598" s="139"/>
      <c r="AB598" s="139"/>
      <c r="AC598" s="139"/>
      <c r="AD598" s="139"/>
      <c r="AE598" s="139"/>
      <c r="AF598" s="140"/>
      <c r="AG598" s="140"/>
      <c r="AH598" s="140"/>
      <c r="AI598" s="140"/>
      <c r="AJ598" s="140"/>
      <c r="AK598" s="140"/>
      <c r="AL598" s="140"/>
      <c r="AM598" s="140"/>
      <c r="AN598" s="140"/>
      <c r="AO598" s="140"/>
      <c r="AP598" s="140"/>
      <c r="AQ598" s="140"/>
      <c r="AR598" s="140"/>
      <c r="AS598" s="140"/>
      <c r="AT598" s="140"/>
      <c r="AU598" s="140"/>
      <c r="AV598" s="140"/>
      <c r="AW598" s="140"/>
      <c r="AX598" s="140"/>
      <c r="AY598" s="140"/>
      <c r="AZ598" s="140"/>
      <c r="BA598" s="140"/>
      <c r="BB598" s="140"/>
      <c r="BC598" s="140"/>
      <c r="BD598" s="140"/>
      <c r="BE598" s="140"/>
    </row>
    <row r="599" s="119" customFormat="1" ht="48" customHeight="1" outlineLevel="2" spans="1:57">
      <c r="A599" s="162">
        <f>1+N(A598)</f>
        <v>3</v>
      </c>
      <c r="B599" s="14" t="s">
        <v>91</v>
      </c>
      <c r="C599" s="15" t="s">
        <v>92</v>
      </c>
      <c r="D599" s="142" t="s">
        <v>70</v>
      </c>
      <c r="E599" s="143">
        <v>12.179</v>
      </c>
      <c r="F599" s="143">
        <f>$F$22</f>
        <v>12</v>
      </c>
      <c r="G599" s="143">
        <f>$G$22</f>
        <v>25.75</v>
      </c>
      <c r="H599" s="143">
        <f>$H$22</f>
        <v>3.8</v>
      </c>
      <c r="I599" s="17">
        <f>(F599+G599+H599)*$I$3</f>
        <v>4.155</v>
      </c>
      <c r="J599" s="18">
        <f>ROUND(SUM(F599:I599),2)</f>
        <v>45.71</v>
      </c>
      <c r="K599" s="19">
        <f>ROUND(J599*E599,2)</f>
        <v>556.7</v>
      </c>
      <c r="L599" s="178"/>
      <c r="M599" s="139">
        <v>1</v>
      </c>
      <c r="N599" s="139">
        <v>506.04</v>
      </c>
      <c r="O599" s="139"/>
      <c r="P599" s="37">
        <f>Q599+Q599*R599+S599+T599+U599</f>
        <v>41.55</v>
      </c>
      <c r="Q599" s="99">
        <f>$Q$22</f>
        <v>25</v>
      </c>
      <c r="R599" s="163">
        <f>$R$22</f>
        <v>0.03</v>
      </c>
      <c r="S599" s="99">
        <f>$S$22</f>
        <v>12</v>
      </c>
      <c r="T599" s="99">
        <f>$T$22</f>
        <v>3.5</v>
      </c>
      <c r="U599" s="99">
        <f>$U$22</f>
        <v>0.3</v>
      </c>
      <c r="V599" s="37">
        <f>P599*E599</f>
        <v>506.03745</v>
      </c>
      <c r="W599" s="139"/>
      <c r="X599" s="139"/>
      <c r="Y599" s="139"/>
      <c r="Z599" s="139"/>
      <c r="AA599" s="139"/>
      <c r="AB599" s="139"/>
      <c r="AC599" s="139"/>
      <c r="AD599" s="139"/>
      <c r="AE599" s="139"/>
      <c r="AF599" s="140"/>
      <c r="AG599" s="140"/>
      <c r="AH599" s="140"/>
      <c r="AI599" s="140"/>
      <c r="AJ599" s="140"/>
      <c r="AK599" s="140"/>
      <c r="AL599" s="140"/>
      <c r="AM599" s="140"/>
      <c r="AN599" s="140"/>
      <c r="AO599" s="140"/>
      <c r="AP599" s="140"/>
      <c r="AQ599" s="140"/>
      <c r="AR599" s="140"/>
      <c r="AS599" s="140"/>
      <c r="AT599" s="140"/>
      <c r="AU599" s="140"/>
      <c r="AV599" s="140"/>
      <c r="AW599" s="140"/>
      <c r="AX599" s="140"/>
      <c r="AY599" s="140"/>
      <c r="AZ599" s="140"/>
      <c r="BA599" s="140"/>
      <c r="BB599" s="140"/>
      <c r="BC599" s="140"/>
      <c r="BD599" s="140"/>
      <c r="BE599" s="140"/>
    </row>
    <row r="600" s="119" customFormat="1" ht="24" customHeight="1" outlineLevel="1" spans="1:57">
      <c r="A600" s="141"/>
      <c r="B600" s="14" t="s">
        <v>101</v>
      </c>
      <c r="C600" s="15"/>
      <c r="D600" s="142"/>
      <c r="E600" s="143"/>
      <c r="F600" s="143"/>
      <c r="G600" s="143"/>
      <c r="H600" s="143"/>
      <c r="I600" s="143"/>
      <c r="J600" s="143"/>
      <c r="K600" s="144"/>
      <c r="L600" s="178"/>
      <c r="M600" s="139"/>
      <c r="N600" s="139"/>
      <c r="O600" s="139"/>
      <c r="P600" s="137"/>
      <c r="Q600" s="137"/>
      <c r="R600" s="138"/>
      <c r="S600" s="137"/>
      <c r="T600" s="137"/>
      <c r="U600" s="137"/>
      <c r="V600" s="137"/>
      <c r="W600" s="139"/>
      <c r="X600" s="139"/>
      <c r="Y600" s="139"/>
      <c r="Z600" s="139"/>
      <c r="AA600" s="139"/>
      <c r="AB600" s="139"/>
      <c r="AC600" s="139"/>
      <c r="AD600" s="139"/>
      <c r="AE600" s="139"/>
      <c r="AF600" s="140"/>
      <c r="AG600" s="140"/>
      <c r="AH600" s="140"/>
      <c r="AI600" s="140"/>
      <c r="AJ600" s="140"/>
      <c r="AK600" s="140"/>
      <c r="AL600" s="140"/>
      <c r="AM600" s="140"/>
      <c r="AN600" s="140"/>
      <c r="AO600" s="140"/>
      <c r="AP600" s="140"/>
      <c r="AQ600" s="140"/>
      <c r="AR600" s="140"/>
      <c r="AS600" s="140"/>
      <c r="AT600" s="140"/>
      <c r="AU600" s="140"/>
      <c r="AV600" s="140"/>
      <c r="AW600" s="140"/>
      <c r="AX600" s="140"/>
      <c r="AY600" s="140"/>
      <c r="AZ600" s="140"/>
      <c r="BA600" s="140"/>
      <c r="BB600" s="140"/>
      <c r="BC600" s="140"/>
      <c r="BD600" s="140"/>
      <c r="BE600" s="140"/>
    </row>
    <row r="601" s="119" customFormat="1" ht="96" customHeight="1" outlineLevel="2" spans="1:57">
      <c r="A601" s="162">
        <f>1+N(A600)</f>
        <v>1</v>
      </c>
      <c r="B601" s="14" t="s">
        <v>102</v>
      </c>
      <c r="C601" s="167" t="s">
        <v>103</v>
      </c>
      <c r="D601" s="142" t="s">
        <v>63</v>
      </c>
      <c r="E601" s="143">
        <f>12.95-4.8</f>
        <v>8.15</v>
      </c>
      <c r="F601" s="143">
        <f>$F$28</f>
        <v>70</v>
      </c>
      <c r="G601" s="143">
        <f>$G$28</f>
        <v>0</v>
      </c>
      <c r="H601" s="143">
        <f>$H$28</f>
        <v>66.711</v>
      </c>
      <c r="I601" s="17">
        <f>(F601+G601+H601)*$I$3</f>
        <v>13.6711</v>
      </c>
      <c r="J601" s="18">
        <f>ROUND(SUM(F601:I601),2)</f>
        <v>150.38</v>
      </c>
      <c r="K601" s="19">
        <f>ROUND(J601*E601,2)</f>
        <v>1225.6</v>
      </c>
      <c r="L601" s="178"/>
      <c r="M601" s="139">
        <v>1</v>
      </c>
      <c r="N601" s="139">
        <v>1114.19</v>
      </c>
      <c r="O601" s="139"/>
      <c r="P601" s="37">
        <f>Q601+Q601*R601+S601+T601+U601</f>
        <v>136.711</v>
      </c>
      <c r="Q601" s="99">
        <f>$Q$28</f>
        <v>0</v>
      </c>
      <c r="R601" s="163">
        <f>$R$28</f>
        <v>0.01</v>
      </c>
      <c r="S601" s="99">
        <f>$S$28</f>
        <v>70</v>
      </c>
      <c r="T601" s="99">
        <f>$T$28</f>
        <v>64.711</v>
      </c>
      <c r="U601" s="99">
        <f>$U$28</f>
        <v>2</v>
      </c>
      <c r="V601" s="37">
        <f>P601*E601</f>
        <v>1114.19465</v>
      </c>
      <c r="W601" s="139"/>
      <c r="X601" s="139"/>
      <c r="Y601" s="139"/>
      <c r="Z601" s="139"/>
      <c r="AA601" s="139"/>
      <c r="AB601" s="139"/>
      <c r="AC601" s="139"/>
      <c r="AD601" s="139"/>
      <c r="AE601" s="139"/>
      <c r="AF601" s="140"/>
      <c r="AG601" s="140"/>
      <c r="AH601" s="140"/>
      <c r="AI601" s="140"/>
      <c r="AJ601" s="140"/>
      <c r="AK601" s="140"/>
      <c r="AL601" s="140"/>
      <c r="AM601" s="140"/>
      <c r="AN601" s="140"/>
      <c r="AO601" s="140"/>
      <c r="AP601" s="140"/>
      <c r="AQ601" s="140"/>
      <c r="AR601" s="140"/>
      <c r="AS601" s="140"/>
      <c r="AT601" s="140"/>
      <c r="AU601" s="140"/>
      <c r="AV601" s="140"/>
      <c r="AW601" s="140"/>
      <c r="AX601" s="140"/>
      <c r="AY601" s="140"/>
      <c r="AZ601" s="140"/>
      <c r="BA601" s="140"/>
      <c r="BB601" s="140"/>
      <c r="BC601" s="140"/>
      <c r="BD601" s="140"/>
      <c r="BE601" s="140"/>
    </row>
    <row r="602" s="119" customFormat="1" ht="72" customHeight="1" outlineLevel="2" spans="1:57">
      <c r="A602" s="162">
        <f>1+N(A601)</f>
        <v>2</v>
      </c>
      <c r="B602" s="14" t="s">
        <v>266</v>
      </c>
      <c r="C602" s="167" t="s">
        <v>267</v>
      </c>
      <c r="D602" s="142" t="s">
        <v>63</v>
      </c>
      <c r="E602" s="143">
        <v>4.8</v>
      </c>
      <c r="F602" s="143">
        <f>$F$469</f>
        <v>75</v>
      </c>
      <c r="G602" s="143">
        <f>$G$469</f>
        <v>330</v>
      </c>
      <c r="H602" s="143">
        <f>$H$469</f>
        <v>28</v>
      </c>
      <c r="I602" s="17">
        <f>(F602+G602+H602)*$I$3</f>
        <v>43.3</v>
      </c>
      <c r="J602" s="18">
        <f>ROUND(SUM(F602:I602),2)</f>
        <v>476.3</v>
      </c>
      <c r="K602" s="19">
        <f>ROUND(J602*E602,2)</f>
        <v>2286.24</v>
      </c>
      <c r="L602" s="178"/>
      <c r="M602" s="139">
        <v>1</v>
      </c>
      <c r="N602" s="139">
        <v>2078.4</v>
      </c>
      <c r="O602" s="139"/>
      <c r="P602" s="37">
        <f>Q602+Q602*R602+S602+T602+U602</f>
        <v>433</v>
      </c>
      <c r="Q602" s="99">
        <f>$Q$469</f>
        <v>330</v>
      </c>
      <c r="R602" s="163">
        <f>$R$469</f>
        <v>0</v>
      </c>
      <c r="S602" s="99">
        <f>$S$469</f>
        <v>75</v>
      </c>
      <c r="T602" s="99">
        <f>$T$469</f>
        <v>25</v>
      </c>
      <c r="U602" s="99">
        <f>$U$469</f>
        <v>3</v>
      </c>
      <c r="V602" s="37">
        <f>P602*E602</f>
        <v>2078.4</v>
      </c>
      <c r="W602" s="139"/>
      <c r="X602" s="139"/>
      <c r="Y602" s="139"/>
      <c r="Z602" s="139"/>
      <c r="AA602" s="139"/>
      <c r="AB602" s="139"/>
      <c r="AC602" s="139"/>
      <c r="AD602" s="139"/>
      <c r="AE602" s="139"/>
      <c r="AF602" s="140"/>
      <c r="AG602" s="140"/>
      <c r="AH602" s="140"/>
      <c r="AI602" s="140"/>
      <c r="AJ602" s="140"/>
      <c r="AK602" s="140"/>
      <c r="AL602" s="140"/>
      <c r="AM602" s="140"/>
      <c r="AN602" s="140"/>
      <c r="AO602" s="140"/>
      <c r="AP602" s="140"/>
      <c r="AQ602" s="140"/>
      <c r="AR602" s="140"/>
      <c r="AS602" s="140"/>
      <c r="AT602" s="140"/>
      <c r="AU602" s="140"/>
      <c r="AV602" s="140"/>
      <c r="AW602" s="140"/>
      <c r="AX602" s="140"/>
      <c r="AY602" s="140"/>
      <c r="AZ602" s="140"/>
      <c r="BA602" s="140"/>
      <c r="BB602" s="140"/>
      <c r="BC602" s="140"/>
      <c r="BD602" s="140"/>
      <c r="BE602" s="140"/>
    </row>
    <row r="603" s="119" customFormat="1" ht="72" customHeight="1" outlineLevel="2" spans="1:57">
      <c r="A603" s="162">
        <f>1+N(A602)</f>
        <v>3</v>
      </c>
      <c r="B603" s="14" t="s">
        <v>108</v>
      </c>
      <c r="C603" s="15" t="s">
        <v>109</v>
      </c>
      <c r="D603" s="142" t="s">
        <v>70</v>
      </c>
      <c r="E603" s="143">
        <v>3.9</v>
      </c>
      <c r="F603" s="143">
        <f>$F$31</f>
        <v>30</v>
      </c>
      <c r="G603" s="143">
        <f>$G$31</f>
        <v>65.6625</v>
      </c>
      <c r="H603" s="143">
        <f>$H$31</f>
        <v>2.7</v>
      </c>
      <c r="I603" s="17">
        <f>(F603+G603+H603)*$I$3</f>
        <v>9.83625</v>
      </c>
      <c r="J603" s="18">
        <f>ROUND(SUM(F603:I603),2)</f>
        <v>108.2</v>
      </c>
      <c r="K603" s="19">
        <f>ROUND(J603*E603,2)</f>
        <v>421.98</v>
      </c>
      <c r="L603" s="178"/>
      <c r="M603" s="139">
        <v>1</v>
      </c>
      <c r="N603" s="139">
        <v>383.6</v>
      </c>
      <c r="O603" s="139"/>
      <c r="P603" s="37">
        <f>Q603+Q603*R603+S603+T603+U603</f>
        <v>98.3625</v>
      </c>
      <c r="Q603" s="99">
        <f>$Q$31</f>
        <v>63.75</v>
      </c>
      <c r="R603" s="163">
        <f>$R$31</f>
        <v>0.03</v>
      </c>
      <c r="S603" s="99">
        <f>$S$31</f>
        <v>30</v>
      </c>
      <c r="T603" s="99">
        <f>$T$31</f>
        <v>2.5</v>
      </c>
      <c r="U603" s="99">
        <f>$U$31</f>
        <v>0.2</v>
      </c>
      <c r="V603" s="37">
        <f>P603*E603</f>
        <v>383.61375</v>
      </c>
      <c r="W603" s="139"/>
      <c r="X603" s="139"/>
      <c r="Y603" s="139"/>
      <c r="Z603" s="139"/>
      <c r="AA603" s="139"/>
      <c r="AB603" s="139"/>
      <c r="AC603" s="139"/>
      <c r="AD603" s="139"/>
      <c r="AE603" s="139"/>
      <c r="AF603" s="140"/>
      <c r="AG603" s="140"/>
      <c r="AH603" s="140"/>
      <c r="AI603" s="140"/>
      <c r="AJ603" s="140"/>
      <c r="AK603" s="140"/>
      <c r="AL603" s="140"/>
      <c r="AM603" s="140"/>
      <c r="AN603" s="140"/>
      <c r="AO603" s="140"/>
      <c r="AP603" s="140"/>
      <c r="AQ603" s="140"/>
      <c r="AR603" s="140"/>
      <c r="AS603" s="140"/>
      <c r="AT603" s="140"/>
      <c r="AU603" s="140"/>
      <c r="AV603" s="140"/>
      <c r="AW603" s="140"/>
      <c r="AX603" s="140"/>
      <c r="AY603" s="140"/>
      <c r="AZ603" s="140"/>
      <c r="BA603" s="140"/>
      <c r="BB603" s="140"/>
      <c r="BC603" s="140"/>
      <c r="BD603" s="140"/>
      <c r="BE603" s="140"/>
    </row>
    <row r="604" s="119" customFormat="1" ht="72" customHeight="1" outlineLevel="2" spans="1:57">
      <c r="A604" s="162">
        <f>1+N(A603)</f>
        <v>4</v>
      </c>
      <c r="B604" s="14" t="s">
        <v>110</v>
      </c>
      <c r="C604" s="15" t="s">
        <v>111</v>
      </c>
      <c r="D604" s="142" t="s">
        <v>63</v>
      </c>
      <c r="E604" s="143">
        <v>8.15</v>
      </c>
      <c r="F604" s="143">
        <f>$F$32</f>
        <v>45</v>
      </c>
      <c r="G604" s="143">
        <f>$G$32</f>
        <v>85.5</v>
      </c>
      <c r="H604" s="143">
        <f>$H$32</f>
        <v>7.3</v>
      </c>
      <c r="I604" s="17">
        <f>(F604+G604+H604)*$I$3</f>
        <v>13.78</v>
      </c>
      <c r="J604" s="18">
        <f>ROUND(SUM(F604:I604),2)</f>
        <v>151.58</v>
      </c>
      <c r="K604" s="19">
        <f>ROUND(J604*E604,2)</f>
        <v>1235.38</v>
      </c>
      <c r="L604" s="178"/>
      <c r="M604" s="139">
        <v>1</v>
      </c>
      <c r="N604" s="139">
        <v>1123.07</v>
      </c>
      <c r="O604" s="139"/>
      <c r="P604" s="37">
        <f>Q604+Q604*R604+S604+T604+U604</f>
        <v>137.8</v>
      </c>
      <c r="Q604" s="99">
        <f>$Q$32</f>
        <v>85.5</v>
      </c>
      <c r="R604" s="163">
        <f>$R$32</f>
        <v>0</v>
      </c>
      <c r="S604" s="99">
        <f>$S$32</f>
        <v>45</v>
      </c>
      <c r="T604" s="99">
        <f>$T$32</f>
        <v>6.5</v>
      </c>
      <c r="U604" s="99">
        <f>$U$32</f>
        <v>0.8</v>
      </c>
      <c r="V604" s="37">
        <f>P604*E604</f>
        <v>1123.07</v>
      </c>
      <c r="W604" s="139"/>
      <c r="X604" s="139"/>
      <c r="Y604" s="139"/>
      <c r="Z604" s="139"/>
      <c r="AA604" s="139"/>
      <c r="AB604" s="139"/>
      <c r="AC604" s="139"/>
      <c r="AD604" s="139"/>
      <c r="AE604" s="139"/>
      <c r="AF604" s="140"/>
      <c r="AG604" s="140"/>
      <c r="AH604" s="140"/>
      <c r="AI604" s="140"/>
      <c r="AJ604" s="140"/>
      <c r="AK604" s="140"/>
      <c r="AL604" s="140"/>
      <c r="AM604" s="140"/>
      <c r="AN604" s="140"/>
      <c r="AO604" s="140"/>
      <c r="AP604" s="140"/>
      <c r="AQ604" s="140"/>
      <c r="AR604" s="140"/>
      <c r="AS604" s="140"/>
      <c r="AT604" s="140"/>
      <c r="AU604" s="140"/>
      <c r="AV604" s="140"/>
      <c r="AW604" s="140"/>
      <c r="AX604" s="140"/>
      <c r="AY604" s="140"/>
      <c r="AZ604" s="140"/>
      <c r="BA604" s="140"/>
      <c r="BB604" s="140"/>
      <c r="BC604" s="140"/>
      <c r="BD604" s="140"/>
      <c r="BE604" s="140"/>
    </row>
    <row r="605" s="119" customFormat="1" ht="72" customHeight="1" outlineLevel="2" spans="1:57">
      <c r="A605" s="162">
        <f>1+N(A604)</f>
        <v>5</v>
      </c>
      <c r="B605" s="14" t="s">
        <v>270</v>
      </c>
      <c r="C605" s="15" t="s">
        <v>271</v>
      </c>
      <c r="D605" s="142" t="s">
        <v>63</v>
      </c>
      <c r="E605" s="143">
        <v>4.8</v>
      </c>
      <c r="F605" s="143">
        <f>$F$475</f>
        <v>12</v>
      </c>
      <c r="G605" s="143">
        <f>$G$475</f>
        <v>5.5</v>
      </c>
      <c r="H605" s="143">
        <f>$H$475</f>
        <v>4.2682</v>
      </c>
      <c r="I605" s="17">
        <f>(F605+G605+H605)*$I$3</f>
        <v>2.17682</v>
      </c>
      <c r="J605" s="18">
        <f>ROUND(SUM(F605:I605),2)</f>
        <v>23.95</v>
      </c>
      <c r="K605" s="19">
        <f>ROUND(J605*E605,2)</f>
        <v>114.96</v>
      </c>
      <c r="L605" s="178"/>
      <c r="M605" s="139">
        <v>1</v>
      </c>
      <c r="N605" s="139">
        <v>104.5</v>
      </c>
      <c r="O605" s="139"/>
      <c r="P605" s="37">
        <f>Q605+Q605*R605+S605+T605+U605</f>
        <v>21.7682</v>
      </c>
      <c r="Q605" s="99">
        <f>$Q$475</f>
        <v>5.5</v>
      </c>
      <c r="R605" s="163">
        <f>$R$475</f>
        <v>0</v>
      </c>
      <c r="S605" s="99">
        <f>$S$475</f>
        <v>12</v>
      </c>
      <c r="T605" s="99">
        <f>$T$475</f>
        <v>3.9682</v>
      </c>
      <c r="U605" s="99">
        <f>$U$475</f>
        <v>0.3</v>
      </c>
      <c r="V605" s="37">
        <f>P605*E605</f>
        <v>104.48736</v>
      </c>
      <c r="W605" s="139"/>
      <c r="X605" s="139"/>
      <c r="Y605" s="139"/>
      <c r="Z605" s="139"/>
      <c r="AA605" s="139"/>
      <c r="AB605" s="139"/>
      <c r="AC605" s="139"/>
      <c r="AD605" s="139"/>
      <c r="AE605" s="139"/>
      <c r="AF605" s="140"/>
      <c r="AG605" s="140"/>
      <c r="AH605" s="140"/>
      <c r="AI605" s="140"/>
      <c r="AJ605" s="140"/>
      <c r="AK605" s="140"/>
      <c r="AL605" s="140"/>
      <c r="AM605" s="140"/>
      <c r="AN605" s="140"/>
      <c r="AO605" s="140"/>
      <c r="AP605" s="140"/>
      <c r="AQ605" s="140"/>
      <c r="AR605" s="140"/>
      <c r="AS605" s="140"/>
      <c r="AT605" s="140"/>
      <c r="AU605" s="140"/>
      <c r="AV605" s="140"/>
      <c r="AW605" s="140"/>
      <c r="AX605" s="140"/>
      <c r="AY605" s="140"/>
      <c r="AZ605" s="140"/>
      <c r="BA605" s="140"/>
      <c r="BB605" s="140"/>
      <c r="BC605" s="140"/>
      <c r="BD605" s="140"/>
      <c r="BE605" s="140"/>
    </row>
    <row r="606" s="119" customFormat="1" ht="24" customHeight="1" outlineLevel="1" spans="1:57">
      <c r="A606" s="141"/>
      <c r="B606" s="14" t="s">
        <v>112</v>
      </c>
      <c r="C606" s="15"/>
      <c r="D606" s="142"/>
      <c r="E606" s="143"/>
      <c r="F606" s="143"/>
      <c r="G606" s="143"/>
      <c r="H606" s="143"/>
      <c r="I606" s="143"/>
      <c r="J606" s="143"/>
      <c r="K606" s="144"/>
      <c r="L606" s="178"/>
      <c r="M606" s="139"/>
      <c r="N606" s="139"/>
      <c r="O606" s="139"/>
      <c r="P606" s="137"/>
      <c r="Q606" s="137"/>
      <c r="R606" s="138"/>
      <c r="S606" s="137"/>
      <c r="T606" s="137"/>
      <c r="U606" s="137"/>
      <c r="V606" s="137"/>
      <c r="W606" s="139"/>
      <c r="X606" s="139"/>
      <c r="Y606" s="139"/>
      <c r="Z606" s="139"/>
      <c r="AA606" s="139"/>
      <c r="AB606" s="139"/>
      <c r="AC606" s="139"/>
      <c r="AD606" s="139"/>
      <c r="AE606" s="139"/>
      <c r="AF606" s="140"/>
      <c r="AG606" s="140"/>
      <c r="AH606" s="140"/>
      <c r="AI606" s="140"/>
      <c r="AJ606" s="140"/>
      <c r="AK606" s="140"/>
      <c r="AL606" s="140"/>
      <c r="AM606" s="140"/>
      <c r="AN606" s="140"/>
      <c r="AO606" s="140"/>
      <c r="AP606" s="140"/>
      <c r="AQ606" s="140"/>
      <c r="AR606" s="140"/>
      <c r="AS606" s="140"/>
      <c r="AT606" s="140"/>
      <c r="AU606" s="140"/>
      <c r="AV606" s="140"/>
      <c r="AW606" s="140"/>
      <c r="AX606" s="140"/>
      <c r="AY606" s="140"/>
      <c r="AZ606" s="140"/>
      <c r="BA606" s="140"/>
      <c r="BB606" s="140"/>
      <c r="BC606" s="140"/>
      <c r="BD606" s="140"/>
      <c r="BE606" s="140"/>
    </row>
    <row r="607" s="119" customFormat="1" ht="36" customHeight="1" outlineLevel="2" spans="1:57">
      <c r="A607" s="162">
        <f>1+N(A606)</f>
        <v>1</v>
      </c>
      <c r="B607" s="14" t="s">
        <v>126</v>
      </c>
      <c r="C607" s="167" t="s">
        <v>114</v>
      </c>
      <c r="D607" s="142" t="s">
        <v>63</v>
      </c>
      <c r="E607" s="143">
        <f>0.8*3.4</f>
        <v>2.72</v>
      </c>
      <c r="F607" s="143">
        <f>$F$60</f>
        <v>165</v>
      </c>
      <c r="G607" s="143">
        <f>$G$60</f>
        <v>85</v>
      </c>
      <c r="H607" s="143">
        <f>$H$60</f>
        <v>355.1744</v>
      </c>
      <c r="I607" s="17">
        <f>(F607+G607+H607)*$I$3</f>
        <v>60.51744</v>
      </c>
      <c r="J607" s="18">
        <f>ROUND(SUM(F607:I607),2)</f>
        <v>665.69</v>
      </c>
      <c r="K607" s="19">
        <f>ROUND(J607*E607,2)</f>
        <v>1810.68</v>
      </c>
      <c r="L607" s="178"/>
      <c r="M607" s="139">
        <v>1</v>
      </c>
      <c r="N607" s="139">
        <v>1646.06</v>
      </c>
      <c r="O607" s="139"/>
      <c r="P607" s="37">
        <f>Q607+Q607*R607+S607+T607+U607</f>
        <v>605.1744</v>
      </c>
      <c r="Q607" s="99">
        <f>$Q$60</f>
        <v>85</v>
      </c>
      <c r="R607" s="163">
        <f>$R$60</f>
        <v>0</v>
      </c>
      <c r="S607" s="99">
        <f>$S$60</f>
        <v>165</v>
      </c>
      <c r="T607" s="99">
        <f>$T$60</f>
        <v>353.6744</v>
      </c>
      <c r="U607" s="99">
        <f>$U$60</f>
        <v>1.5</v>
      </c>
      <c r="V607" s="37">
        <f>P607*E607</f>
        <v>1646.074368</v>
      </c>
      <c r="W607" s="139"/>
      <c r="X607" s="139"/>
      <c r="Y607" s="139"/>
      <c r="Z607" s="139"/>
      <c r="AA607" s="139"/>
      <c r="AB607" s="139"/>
      <c r="AC607" s="139"/>
      <c r="AD607" s="139"/>
      <c r="AE607" s="139"/>
      <c r="AF607" s="140"/>
      <c r="AG607" s="140"/>
      <c r="AH607" s="140"/>
      <c r="AI607" s="140"/>
      <c r="AJ607" s="140"/>
      <c r="AK607" s="140"/>
      <c r="AL607" s="140"/>
      <c r="AM607" s="140"/>
      <c r="AN607" s="140"/>
      <c r="AO607" s="140"/>
      <c r="AP607" s="140"/>
      <c r="AQ607" s="140"/>
      <c r="AR607" s="140"/>
      <c r="AS607" s="140"/>
      <c r="AT607" s="140"/>
      <c r="AU607" s="140"/>
      <c r="AV607" s="140"/>
      <c r="AW607" s="140"/>
      <c r="AX607" s="140"/>
      <c r="AY607" s="140"/>
      <c r="AZ607" s="140"/>
      <c r="BA607" s="140"/>
      <c r="BB607" s="140"/>
      <c r="BC607" s="140"/>
      <c r="BD607" s="140"/>
      <c r="BE607" s="140"/>
    </row>
    <row r="608" s="119" customFormat="1" ht="24" customHeight="1" outlineLevel="1" spans="1:57">
      <c r="A608" s="132" t="s">
        <v>157</v>
      </c>
      <c r="B608" s="8" t="s">
        <v>333</v>
      </c>
      <c r="C608" s="180"/>
      <c r="D608" s="133"/>
      <c r="E608" s="134"/>
      <c r="F608" s="134"/>
      <c r="G608" s="134"/>
      <c r="H608" s="134"/>
      <c r="I608" s="134"/>
      <c r="J608" s="134"/>
      <c r="K608" s="11"/>
      <c r="L608" s="178"/>
      <c r="M608" s="139"/>
      <c r="N608" s="139"/>
      <c r="O608" s="139" t="str">
        <f>_xlfn.DISPIMG("ID_313A828CF1F54DA1B047DEC23CEA0284",1)</f>
        <v>=DISPIMG("ID_313A828CF1F54DA1B047DEC23CEA0284",1)</v>
      </c>
      <c r="P608" s="137"/>
      <c r="Q608" s="137"/>
      <c r="R608" s="138"/>
      <c r="S608" s="137"/>
      <c r="T608" s="137"/>
      <c r="U608" s="137"/>
      <c r="V608" s="137"/>
      <c r="W608" s="139"/>
      <c r="X608" s="139"/>
      <c r="Y608" s="139"/>
      <c r="Z608" s="139"/>
      <c r="AA608" s="139"/>
      <c r="AB608" s="139"/>
      <c r="AC608" s="139"/>
      <c r="AD608" s="139"/>
      <c r="AE608" s="139"/>
      <c r="AF608" s="140"/>
      <c r="AG608" s="140"/>
      <c r="AH608" s="140"/>
      <c r="AI608" s="140"/>
      <c r="AJ608" s="140"/>
      <c r="AK608" s="140"/>
      <c r="AL608" s="140"/>
      <c r="AM608" s="140"/>
      <c r="AN608" s="140"/>
      <c r="AO608" s="140"/>
      <c r="AP608" s="140"/>
      <c r="AQ608" s="140"/>
      <c r="AR608" s="140"/>
      <c r="AS608" s="140"/>
      <c r="AT608" s="140"/>
      <c r="AU608" s="140"/>
      <c r="AV608" s="140"/>
      <c r="AW608" s="140"/>
      <c r="AX608" s="140"/>
      <c r="AY608" s="140"/>
      <c r="AZ608" s="140"/>
      <c r="BA608" s="140"/>
      <c r="BB608" s="140"/>
      <c r="BC608" s="140"/>
      <c r="BD608" s="140"/>
      <c r="BE608" s="140"/>
    </row>
    <row r="609" s="119" customFormat="1" ht="24" customHeight="1" outlineLevel="1" spans="1:57">
      <c r="A609" s="141"/>
      <c r="B609" s="14" t="s">
        <v>60</v>
      </c>
      <c r="C609" s="15"/>
      <c r="D609" s="142"/>
      <c r="E609" s="143"/>
      <c r="F609" s="143"/>
      <c r="G609" s="143"/>
      <c r="H609" s="143"/>
      <c r="I609" s="143"/>
      <c r="J609" s="143"/>
      <c r="K609" s="144"/>
      <c r="L609" s="178"/>
      <c r="M609" s="139"/>
      <c r="N609" s="139"/>
      <c r="O609" s="139"/>
      <c r="P609" s="137"/>
      <c r="Q609" s="137"/>
      <c r="R609" s="138"/>
      <c r="S609" s="137"/>
      <c r="T609" s="137"/>
      <c r="U609" s="137"/>
      <c r="V609" s="137"/>
      <c r="W609" s="139"/>
      <c r="X609" s="139"/>
      <c r="Y609" s="139"/>
      <c r="Z609" s="139"/>
      <c r="AA609" s="139"/>
      <c r="AB609" s="139"/>
      <c r="AC609" s="139"/>
      <c r="AD609" s="139"/>
      <c r="AE609" s="139"/>
      <c r="AF609" s="140"/>
      <c r="AG609" s="140"/>
      <c r="AH609" s="140"/>
      <c r="AI609" s="140"/>
      <c r="AJ609" s="140"/>
      <c r="AK609" s="140"/>
      <c r="AL609" s="140"/>
      <c r="AM609" s="140"/>
      <c r="AN609" s="140"/>
      <c r="AO609" s="140"/>
      <c r="AP609" s="140"/>
      <c r="AQ609" s="140"/>
      <c r="AR609" s="140"/>
      <c r="AS609" s="140"/>
      <c r="AT609" s="140"/>
      <c r="AU609" s="140"/>
      <c r="AV609" s="140"/>
      <c r="AW609" s="140"/>
      <c r="AX609" s="140"/>
      <c r="AY609" s="140"/>
      <c r="AZ609" s="140"/>
      <c r="BA609" s="140"/>
      <c r="BB609" s="140"/>
      <c r="BC609" s="140"/>
      <c r="BD609" s="140"/>
      <c r="BE609" s="140"/>
    </row>
    <row r="610" s="119" customFormat="1" ht="72" customHeight="1" outlineLevel="2" spans="1:57">
      <c r="A610" s="162">
        <f>1+N(A609)</f>
        <v>1</v>
      </c>
      <c r="B610" s="14" t="s">
        <v>325</v>
      </c>
      <c r="C610" s="15" t="s">
        <v>326</v>
      </c>
      <c r="D610" s="142" t="s">
        <v>63</v>
      </c>
      <c r="E610" s="143">
        <v>23.89</v>
      </c>
      <c r="F610" s="143">
        <f>$F$574</f>
        <v>36</v>
      </c>
      <c r="G610" s="143">
        <f>$G$574</f>
        <v>235.75</v>
      </c>
      <c r="H610" s="143">
        <f>$H$574</f>
        <v>17.5</v>
      </c>
      <c r="I610" s="17">
        <f>(F610+G610+H610)*$I$3</f>
        <v>28.925</v>
      </c>
      <c r="J610" s="18">
        <f>ROUND(SUM(F610:I610),2)</f>
        <v>318.18</v>
      </c>
      <c r="K610" s="19">
        <f>ROUND(J610*E610,2)</f>
        <v>7601.32</v>
      </c>
      <c r="L610" s="178"/>
      <c r="M610" s="139">
        <v>1</v>
      </c>
      <c r="N610" s="139">
        <v>6910.18</v>
      </c>
      <c r="O610" s="139"/>
      <c r="P610" s="37">
        <f>Q610+Q610*R610+S610+T610+U610</f>
        <v>289.25</v>
      </c>
      <c r="Q610" s="99">
        <f>$Q$574</f>
        <v>230</v>
      </c>
      <c r="R610" s="163">
        <f>$R$574</f>
        <v>0.025</v>
      </c>
      <c r="S610" s="99">
        <f>$S$574</f>
        <v>36</v>
      </c>
      <c r="T610" s="99">
        <f>$T$574</f>
        <v>17.5</v>
      </c>
      <c r="U610" s="99">
        <f>$U$574</f>
        <v>0</v>
      </c>
      <c r="V610" s="37">
        <f>P610*E610</f>
        <v>6910.1825</v>
      </c>
      <c r="W610" s="139"/>
      <c r="X610" s="139"/>
      <c r="Y610" s="139"/>
      <c r="Z610" s="139"/>
      <c r="AA610" s="139"/>
      <c r="AB610" s="139"/>
      <c r="AC610" s="139"/>
      <c r="AD610" s="139"/>
      <c r="AE610" s="139"/>
      <c r="AF610" s="140"/>
      <c r="AG610" s="140"/>
      <c r="AH610" s="140"/>
      <c r="AI610" s="140"/>
      <c r="AJ610" s="140"/>
      <c r="AK610" s="140"/>
      <c r="AL610" s="140"/>
      <c r="AM610" s="140"/>
      <c r="AN610" s="140"/>
      <c r="AO610" s="140"/>
      <c r="AP610" s="140"/>
      <c r="AQ610" s="140"/>
      <c r="AR610" s="140"/>
      <c r="AS610" s="140"/>
      <c r="AT610" s="140"/>
      <c r="AU610" s="140"/>
      <c r="AV610" s="140"/>
      <c r="AW610" s="140"/>
      <c r="AX610" s="140"/>
      <c r="AY610" s="140"/>
      <c r="AZ610" s="140"/>
      <c r="BA610" s="140"/>
      <c r="BB610" s="140"/>
      <c r="BC610" s="140"/>
      <c r="BD610" s="140"/>
      <c r="BE610" s="140"/>
    </row>
    <row r="611" s="119" customFormat="1" ht="60" customHeight="1" outlineLevel="2" spans="1:57">
      <c r="A611" s="162">
        <f>1+N(A610)</f>
        <v>2</v>
      </c>
      <c r="B611" s="14" t="s">
        <v>168</v>
      </c>
      <c r="C611" s="15" t="s">
        <v>306</v>
      </c>
      <c r="D611" s="142" t="s">
        <v>63</v>
      </c>
      <c r="E611" s="143">
        <v>23.89</v>
      </c>
      <c r="F611" s="143">
        <f>$F$539</f>
        <v>28</v>
      </c>
      <c r="G611" s="143">
        <f>$G$539</f>
        <v>0</v>
      </c>
      <c r="H611" s="143">
        <f>$H$539</f>
        <v>31.8</v>
      </c>
      <c r="I611" s="17">
        <f>(F611+G611+H611)*$I$3</f>
        <v>5.98</v>
      </c>
      <c r="J611" s="18">
        <f>ROUND(SUM(F611:I611),2)</f>
        <v>65.78</v>
      </c>
      <c r="K611" s="19">
        <f>ROUND(J611*E611,2)</f>
        <v>1571.48</v>
      </c>
      <c r="L611" s="178"/>
      <c r="M611" s="139">
        <v>1</v>
      </c>
      <c r="N611" s="139">
        <v>1428.62</v>
      </c>
      <c r="O611" s="139"/>
      <c r="P611" s="37">
        <f>Q611+Q611*R611+S611+T611+U611</f>
        <v>59.8</v>
      </c>
      <c r="Q611" s="99">
        <f>$Q$539</f>
        <v>0</v>
      </c>
      <c r="R611" s="163">
        <f>$R$539</f>
        <v>0</v>
      </c>
      <c r="S611" s="99">
        <f>$S$539</f>
        <v>28</v>
      </c>
      <c r="T611" s="99">
        <f>$T$539</f>
        <v>31.5</v>
      </c>
      <c r="U611" s="99">
        <f>$U$539</f>
        <v>0.3</v>
      </c>
      <c r="V611" s="37">
        <f>P611*E611</f>
        <v>1428.622</v>
      </c>
      <c r="W611" s="139"/>
      <c r="X611" s="139"/>
      <c r="Y611" s="139"/>
      <c r="Z611" s="139"/>
      <c r="AA611" s="139"/>
      <c r="AB611" s="139"/>
      <c r="AC611" s="139"/>
      <c r="AD611" s="139"/>
      <c r="AE611" s="139"/>
      <c r="AF611" s="140"/>
      <c r="AG611" s="140"/>
      <c r="AH611" s="140"/>
      <c r="AI611" s="140"/>
      <c r="AJ611" s="140"/>
      <c r="AK611" s="140"/>
      <c r="AL611" s="140"/>
      <c r="AM611" s="140"/>
      <c r="AN611" s="140"/>
      <c r="AO611" s="140"/>
      <c r="AP611" s="140"/>
      <c r="AQ611" s="140"/>
      <c r="AR611" s="140"/>
      <c r="AS611" s="140"/>
      <c r="AT611" s="140"/>
      <c r="AU611" s="140"/>
      <c r="AV611" s="140"/>
      <c r="AW611" s="140"/>
      <c r="AX611" s="140"/>
      <c r="AY611" s="140"/>
      <c r="AZ611" s="140"/>
      <c r="BA611" s="140"/>
      <c r="BB611" s="140"/>
      <c r="BC611" s="140"/>
      <c r="BD611" s="140"/>
      <c r="BE611" s="140"/>
    </row>
    <row r="612" s="119" customFormat="1" ht="96" customHeight="1" outlineLevel="2" spans="1:57">
      <c r="A612" s="162">
        <f>1+N(A611)</f>
        <v>3</v>
      </c>
      <c r="B612" s="14" t="s">
        <v>61</v>
      </c>
      <c r="C612" s="15" t="s">
        <v>62</v>
      </c>
      <c r="D612" s="142" t="s">
        <v>63</v>
      </c>
      <c r="E612" s="143">
        <v>0.3</v>
      </c>
      <c r="F612" s="143">
        <f>$F$7</f>
        <v>130</v>
      </c>
      <c r="G612" s="143">
        <f>$G$7</f>
        <v>628.3</v>
      </c>
      <c r="H612" s="17">
        <f>$H$7</f>
        <v>47.7</v>
      </c>
      <c r="I612" s="17">
        <f>(F612+G612+H612)*$I$3</f>
        <v>80.6</v>
      </c>
      <c r="J612" s="18">
        <f>ROUND(SUM(F612:I612),2)</f>
        <v>886.6</v>
      </c>
      <c r="K612" s="19">
        <f>ROUND(J612*E612,2)</f>
        <v>265.98</v>
      </c>
      <c r="L612" s="178"/>
      <c r="M612" s="139">
        <v>1</v>
      </c>
      <c r="N612" s="139">
        <v>241.8</v>
      </c>
      <c r="O612" s="139"/>
      <c r="P612" s="37">
        <f>Q612+Q612*R612+S612+T612+U612</f>
        <v>806</v>
      </c>
      <c r="Q612" s="99">
        <f>$Q$7</f>
        <v>610</v>
      </c>
      <c r="R612" s="163">
        <f>$R$7</f>
        <v>0.03</v>
      </c>
      <c r="S612" s="99">
        <f>$S$7</f>
        <v>130</v>
      </c>
      <c r="T612" s="99">
        <f>$T$7</f>
        <v>46.2</v>
      </c>
      <c r="U612" s="99">
        <f>$U$7</f>
        <v>1.5</v>
      </c>
      <c r="V612" s="37">
        <f>P612*E612</f>
        <v>241.8</v>
      </c>
      <c r="W612" s="139"/>
      <c r="X612" s="139"/>
      <c r="Y612" s="139"/>
      <c r="Z612" s="139"/>
      <c r="AA612" s="139"/>
      <c r="AB612" s="139"/>
      <c r="AC612" s="139"/>
      <c r="AD612" s="139"/>
      <c r="AE612" s="139"/>
      <c r="AF612" s="140"/>
      <c r="AG612" s="140"/>
      <c r="AH612" s="140"/>
      <c r="AI612" s="140"/>
      <c r="AJ612" s="140"/>
      <c r="AK612" s="140"/>
      <c r="AL612" s="140"/>
      <c r="AM612" s="140"/>
      <c r="AN612" s="140"/>
      <c r="AO612" s="140"/>
      <c r="AP612" s="140"/>
      <c r="AQ612" s="140"/>
      <c r="AR612" s="140"/>
      <c r="AS612" s="140"/>
      <c r="AT612" s="140"/>
      <c r="AU612" s="140"/>
      <c r="AV612" s="140"/>
      <c r="AW612" s="140"/>
      <c r="AX612" s="140"/>
      <c r="AY612" s="140"/>
      <c r="AZ612" s="140"/>
      <c r="BA612" s="140"/>
      <c r="BB612" s="140"/>
      <c r="BC612" s="140"/>
      <c r="BD612" s="140"/>
      <c r="BE612" s="140"/>
    </row>
    <row r="613" s="119" customFormat="1" ht="48" customHeight="1" outlineLevel="2" spans="1:57">
      <c r="A613" s="162">
        <f>1+N(A612)</f>
        <v>4</v>
      </c>
      <c r="B613" s="14" t="s">
        <v>71</v>
      </c>
      <c r="C613" s="15" t="s">
        <v>72</v>
      </c>
      <c r="D613" s="142" t="s">
        <v>63</v>
      </c>
      <c r="E613" s="143">
        <v>0.3</v>
      </c>
      <c r="F613" s="143">
        <f>$F$11</f>
        <v>40</v>
      </c>
      <c r="G613" s="143">
        <f>$G$11</f>
        <v>15</v>
      </c>
      <c r="H613" s="143">
        <f>$H$11</f>
        <v>0.8</v>
      </c>
      <c r="I613" s="17">
        <f>(F613+G613+H613)*$I$3</f>
        <v>5.58</v>
      </c>
      <c r="J613" s="18">
        <f>ROUND(SUM(F613:I613),2)</f>
        <v>61.38</v>
      </c>
      <c r="K613" s="19">
        <f>ROUND(J613*E613,2)</f>
        <v>18.41</v>
      </c>
      <c r="L613" s="178"/>
      <c r="M613" s="139">
        <v>1</v>
      </c>
      <c r="N613" s="139">
        <v>16.74</v>
      </c>
      <c r="O613" s="139"/>
      <c r="P613" s="37">
        <f>Q613+Q613*R613+S613+T613+U613</f>
        <v>55.8</v>
      </c>
      <c r="Q613" s="99">
        <f>$Q$11</f>
        <v>15</v>
      </c>
      <c r="R613" s="163">
        <f>$R$11</f>
        <v>0</v>
      </c>
      <c r="S613" s="99">
        <f>$S$11</f>
        <v>40</v>
      </c>
      <c r="T613" s="99">
        <f>$T$11</f>
        <v>0.5</v>
      </c>
      <c r="U613" s="99">
        <f>$U$11</f>
        <v>0.3</v>
      </c>
      <c r="V613" s="37">
        <f>P613*E613</f>
        <v>16.74</v>
      </c>
      <c r="W613" s="139"/>
      <c r="X613" s="139"/>
      <c r="Y613" s="139"/>
      <c r="Z613" s="139"/>
      <c r="AA613" s="139"/>
      <c r="AB613" s="139"/>
      <c r="AC613" s="139"/>
      <c r="AD613" s="139"/>
      <c r="AE613" s="139"/>
      <c r="AF613" s="140"/>
      <c r="AG613" s="140"/>
      <c r="AH613" s="140"/>
      <c r="AI613" s="140"/>
      <c r="AJ613" s="140"/>
      <c r="AK613" s="140"/>
      <c r="AL613" s="140"/>
      <c r="AM613" s="140"/>
      <c r="AN613" s="140"/>
      <c r="AO613" s="140"/>
      <c r="AP613" s="140"/>
      <c r="AQ613" s="140"/>
      <c r="AR613" s="140"/>
      <c r="AS613" s="140"/>
      <c r="AT613" s="140"/>
      <c r="AU613" s="140"/>
      <c r="AV613" s="140"/>
      <c r="AW613" s="140"/>
      <c r="AX613" s="140"/>
      <c r="AY613" s="140"/>
      <c r="AZ613" s="140"/>
      <c r="BA613" s="140"/>
      <c r="BB613" s="140"/>
      <c r="BC613" s="140"/>
      <c r="BD613" s="140"/>
      <c r="BE613" s="140"/>
    </row>
    <row r="614" s="119" customFormat="1" ht="36" customHeight="1" outlineLevel="2" spans="1:57">
      <c r="A614" s="162">
        <f>1+N(A613)</f>
        <v>5</v>
      </c>
      <c r="B614" s="14" t="s">
        <v>68</v>
      </c>
      <c r="C614" s="15" t="s">
        <v>69</v>
      </c>
      <c r="D614" s="142" t="s">
        <v>70</v>
      </c>
      <c r="E614" s="143">
        <f>0.98*2</f>
        <v>1.96</v>
      </c>
      <c r="F614" s="143">
        <f>$F$10</f>
        <v>12</v>
      </c>
      <c r="G614" s="143">
        <f>$G$10</f>
        <v>19.57</v>
      </c>
      <c r="H614" s="143">
        <f>$H$10</f>
        <v>0.5</v>
      </c>
      <c r="I614" s="17">
        <f>(F614+G614+H614)*$I$3</f>
        <v>3.207</v>
      </c>
      <c r="J614" s="18">
        <f>ROUND(SUM(F614:I614),2)</f>
        <v>35.28</v>
      </c>
      <c r="K614" s="19">
        <f>ROUND(J614*E614,2)</f>
        <v>69.15</v>
      </c>
      <c r="L614" s="178"/>
      <c r="M614" s="139">
        <v>1</v>
      </c>
      <c r="N614" s="139">
        <v>62.86</v>
      </c>
      <c r="O614" s="139"/>
      <c r="P614" s="37">
        <f>Q614+Q614*R614+S614+T614+U614</f>
        <v>32.07</v>
      </c>
      <c r="Q614" s="99">
        <f>$Q$10</f>
        <v>19</v>
      </c>
      <c r="R614" s="163">
        <f>$R$10</f>
        <v>0.03</v>
      </c>
      <c r="S614" s="99">
        <f>$S$10</f>
        <v>12</v>
      </c>
      <c r="T614" s="99">
        <f>$T$10</f>
        <v>0.3</v>
      </c>
      <c r="U614" s="99">
        <f>$U$10</f>
        <v>0.2</v>
      </c>
      <c r="V614" s="37">
        <f>P614*E614</f>
        <v>62.8572</v>
      </c>
      <c r="W614" s="139"/>
      <c r="X614" s="139"/>
      <c r="Y614" s="139"/>
      <c r="Z614" s="139"/>
      <c r="AA614" s="139"/>
      <c r="AB614" s="139"/>
      <c r="AC614" s="139"/>
      <c r="AD614" s="139"/>
      <c r="AE614" s="139"/>
      <c r="AF614" s="140"/>
      <c r="AG614" s="140"/>
      <c r="AH614" s="140"/>
      <c r="AI614" s="140"/>
      <c r="AJ614" s="140"/>
      <c r="AK614" s="140"/>
      <c r="AL614" s="140"/>
      <c r="AM614" s="140"/>
      <c r="AN614" s="140"/>
      <c r="AO614" s="140"/>
      <c r="AP614" s="140"/>
      <c r="AQ614" s="140"/>
      <c r="AR614" s="140"/>
      <c r="AS614" s="140"/>
      <c r="AT614" s="140"/>
      <c r="AU614" s="140"/>
      <c r="AV614" s="140"/>
      <c r="AW614" s="140"/>
      <c r="AX614" s="140"/>
      <c r="AY614" s="140"/>
      <c r="AZ614" s="140"/>
      <c r="BA614" s="140"/>
      <c r="BB614" s="140"/>
      <c r="BC614" s="140"/>
      <c r="BD614" s="140"/>
      <c r="BE614" s="140"/>
    </row>
    <row r="615" s="119" customFormat="1" ht="24" customHeight="1" outlineLevel="1" spans="1:57">
      <c r="A615" s="141"/>
      <c r="B615" s="14" t="s">
        <v>73</v>
      </c>
      <c r="C615" s="15"/>
      <c r="D615" s="142"/>
      <c r="E615" s="143"/>
      <c r="F615" s="143"/>
      <c r="G615" s="143"/>
      <c r="H615" s="143"/>
      <c r="I615" s="143"/>
      <c r="J615" s="143"/>
      <c r="K615" s="144"/>
      <c r="L615" s="178"/>
      <c r="M615" s="139"/>
      <c r="N615" s="139"/>
      <c r="O615" s="139"/>
      <c r="P615" s="137"/>
      <c r="Q615" s="137"/>
      <c r="R615" s="138"/>
      <c r="S615" s="137"/>
      <c r="T615" s="137"/>
      <c r="U615" s="137"/>
      <c r="V615" s="137"/>
      <c r="W615" s="139"/>
      <c r="X615" s="139"/>
      <c r="Y615" s="139"/>
      <c r="Z615" s="139"/>
      <c r="AA615" s="139"/>
      <c r="AB615" s="139"/>
      <c r="AC615" s="139"/>
      <c r="AD615" s="139"/>
      <c r="AE615" s="139"/>
      <c r="AF615" s="140"/>
      <c r="AG615" s="140"/>
      <c r="AH615" s="140"/>
      <c r="AI615" s="140"/>
      <c r="AJ615" s="140"/>
      <c r="AK615" s="140"/>
      <c r="AL615" s="140"/>
      <c r="AM615" s="140"/>
      <c r="AN615" s="140"/>
      <c r="AO615" s="140"/>
      <c r="AP615" s="140"/>
      <c r="AQ615" s="140"/>
      <c r="AR615" s="140"/>
      <c r="AS615" s="140"/>
      <c r="AT615" s="140"/>
      <c r="AU615" s="140"/>
      <c r="AV615" s="140"/>
      <c r="AW615" s="140"/>
      <c r="AX615" s="140"/>
      <c r="AY615" s="140"/>
      <c r="AZ615" s="140"/>
      <c r="BA615" s="140"/>
      <c r="BB615" s="140"/>
      <c r="BC615" s="140"/>
      <c r="BD615" s="140"/>
      <c r="BE615" s="140"/>
    </row>
    <row r="616" s="119" customFormat="1" ht="36" customHeight="1" outlineLevel="2" spans="1:57">
      <c r="A616" s="145">
        <f>1+N(A615)</f>
        <v>1</v>
      </c>
      <c r="B616" s="158" t="s">
        <v>334</v>
      </c>
      <c r="C616" s="147" t="s">
        <v>335</v>
      </c>
      <c r="D616" s="148" t="s">
        <v>63</v>
      </c>
      <c r="E616" s="149">
        <v>59.143</v>
      </c>
      <c r="F616" s="149">
        <f>S616*$S$1</f>
        <v>76.5</v>
      </c>
      <c r="G616" s="149">
        <f>Q616*(1+R616)*$Q$1</f>
        <v>92</v>
      </c>
      <c r="H616" s="149">
        <f>(T616+U616)*$T$1</f>
        <v>57</v>
      </c>
      <c r="I616" s="150">
        <f>(F616+G616+H616)*$I$3</f>
        <v>22.55</v>
      </c>
      <c r="J616" s="151">
        <f>ROUND(SUM(F616:I616),2)</f>
        <v>248.05</v>
      </c>
      <c r="K616" s="152">
        <f>ROUND(J616*E616,2)</f>
        <v>14670.42</v>
      </c>
      <c r="L616" s="178"/>
      <c r="M616" s="139">
        <v>1</v>
      </c>
      <c r="N616" s="139">
        <v>13336.75</v>
      </c>
      <c r="O616" s="139"/>
      <c r="P616" s="37">
        <f>Q616+Q616*R616+S616+T616+U616</f>
        <v>225.5</v>
      </c>
      <c r="Q616" s="71">
        <v>80</v>
      </c>
      <c r="R616" s="157">
        <v>0.15</v>
      </c>
      <c r="S616" s="71">
        <v>76.5</v>
      </c>
      <c r="T616" s="71">
        <v>56.5</v>
      </c>
      <c r="U616" s="71">
        <v>0.5</v>
      </c>
      <c r="V616" s="37">
        <f>P616*E616</f>
        <v>13336.7465</v>
      </c>
      <c r="W616" s="139"/>
      <c r="X616" s="139"/>
      <c r="Y616" s="139"/>
      <c r="Z616" s="139"/>
      <c r="AA616" s="139"/>
      <c r="AB616" s="139"/>
      <c r="AC616" s="139"/>
      <c r="AD616" s="139"/>
      <c r="AE616" s="139"/>
      <c r="AF616" s="140"/>
      <c r="AG616" s="140"/>
      <c r="AH616" s="140"/>
      <c r="AI616" s="140"/>
      <c r="AJ616" s="140"/>
      <c r="AK616" s="140"/>
      <c r="AL616" s="140"/>
      <c r="AM616" s="140"/>
      <c r="AN616" s="140"/>
      <c r="AO616" s="140"/>
      <c r="AP616" s="140"/>
      <c r="AQ616" s="140"/>
      <c r="AR616" s="140"/>
      <c r="AS616" s="140"/>
      <c r="AT616" s="140"/>
      <c r="AU616" s="140"/>
      <c r="AV616" s="140"/>
      <c r="AW616" s="140"/>
      <c r="AX616" s="140"/>
      <c r="AY616" s="140"/>
      <c r="AZ616" s="140"/>
      <c r="BA616" s="140"/>
      <c r="BB616" s="140"/>
      <c r="BC616" s="140"/>
      <c r="BD616" s="140"/>
      <c r="BE616" s="140"/>
    </row>
    <row r="617" s="119" customFormat="1" ht="48" customHeight="1" outlineLevel="2" spans="1:57">
      <c r="A617" s="162">
        <f>1+N(A616)</f>
        <v>2</v>
      </c>
      <c r="B617" s="164" t="s">
        <v>91</v>
      </c>
      <c r="C617" s="15" t="s">
        <v>92</v>
      </c>
      <c r="D617" s="142" t="s">
        <v>70</v>
      </c>
      <c r="E617" s="143">
        <v>20.06</v>
      </c>
      <c r="F617" s="143">
        <f>$F$22</f>
        <v>12</v>
      </c>
      <c r="G617" s="143">
        <f>$G$22</f>
        <v>25.75</v>
      </c>
      <c r="H617" s="143">
        <f>$H$22</f>
        <v>3.8</v>
      </c>
      <c r="I617" s="17">
        <f>(F617+G617+H617)*$I$3</f>
        <v>4.155</v>
      </c>
      <c r="J617" s="18">
        <f>ROUND(SUM(F617:I617),2)</f>
        <v>45.71</v>
      </c>
      <c r="K617" s="19">
        <f>ROUND(J617*E617,2)</f>
        <v>916.94</v>
      </c>
      <c r="L617" s="178"/>
      <c r="M617" s="139">
        <v>1</v>
      </c>
      <c r="N617" s="139">
        <v>833.49</v>
      </c>
      <c r="O617" s="139"/>
      <c r="P617" s="37">
        <f>Q617+Q617*R617+S617+T617+U617</f>
        <v>41.55</v>
      </c>
      <c r="Q617" s="99">
        <f>$Q$22</f>
        <v>25</v>
      </c>
      <c r="R617" s="163">
        <f>$R$22</f>
        <v>0.03</v>
      </c>
      <c r="S617" s="99">
        <f>$S$22</f>
        <v>12</v>
      </c>
      <c r="T617" s="99">
        <f>$T$22</f>
        <v>3.5</v>
      </c>
      <c r="U617" s="99">
        <f>$U$22</f>
        <v>0.3</v>
      </c>
      <c r="V617" s="37">
        <f>P617*E617</f>
        <v>833.493</v>
      </c>
      <c r="W617" s="139"/>
      <c r="X617" s="139"/>
      <c r="Y617" s="139"/>
      <c r="Z617" s="139"/>
      <c r="AA617" s="139"/>
      <c r="AB617" s="139"/>
      <c r="AC617" s="139"/>
      <c r="AD617" s="139"/>
      <c r="AE617" s="139"/>
      <c r="AF617" s="140"/>
      <c r="AG617" s="140"/>
      <c r="AH617" s="140"/>
      <c r="AI617" s="140"/>
      <c r="AJ617" s="140"/>
      <c r="AK617" s="140"/>
      <c r="AL617" s="140"/>
      <c r="AM617" s="140"/>
      <c r="AN617" s="140"/>
      <c r="AO617" s="140"/>
      <c r="AP617" s="140"/>
      <c r="AQ617" s="140"/>
      <c r="AR617" s="140"/>
      <c r="AS617" s="140"/>
      <c r="AT617" s="140"/>
      <c r="AU617" s="140"/>
      <c r="AV617" s="140"/>
      <c r="AW617" s="140"/>
      <c r="AX617" s="140"/>
      <c r="AY617" s="140"/>
      <c r="AZ617" s="140"/>
      <c r="BA617" s="140"/>
      <c r="BB617" s="140"/>
      <c r="BC617" s="140"/>
      <c r="BD617" s="140"/>
      <c r="BE617" s="140"/>
    </row>
    <row r="618" s="119" customFormat="1" ht="36" customHeight="1" outlineLevel="2" spans="1:57">
      <c r="A618" s="162">
        <f>1+N(A617)</f>
        <v>3</v>
      </c>
      <c r="B618" s="14" t="s">
        <v>239</v>
      </c>
      <c r="C618" s="15" t="s">
        <v>240</v>
      </c>
      <c r="D618" s="165" t="s">
        <v>63</v>
      </c>
      <c r="E618" s="143">
        <f>(8.13+8.03)*0.095</f>
        <v>1.5352</v>
      </c>
      <c r="F618" s="143">
        <f>$F$356</f>
        <v>110</v>
      </c>
      <c r="G618" s="143">
        <f>$G$356</f>
        <v>454.5</v>
      </c>
      <c r="H618" s="143">
        <f>$H$356</f>
        <v>55.2</v>
      </c>
      <c r="I618" s="17">
        <f>(F618+G618+H618)*$I$3</f>
        <v>61.97</v>
      </c>
      <c r="J618" s="18">
        <f>ROUND(SUM(F618:I618),2)</f>
        <v>681.67</v>
      </c>
      <c r="K618" s="19">
        <f>ROUND(J618*E618,2)</f>
        <v>1046.5</v>
      </c>
      <c r="L618" s="178"/>
      <c r="M618" s="139">
        <v>1</v>
      </c>
      <c r="N618" s="139">
        <v>951.36</v>
      </c>
      <c r="O618" s="139"/>
      <c r="P618" s="37">
        <f>Q618+Q618*R618+S618+T618+U618</f>
        <v>619.7</v>
      </c>
      <c r="Q618" s="99">
        <f>$Q$356</f>
        <v>450</v>
      </c>
      <c r="R618" s="163">
        <f>$R$356</f>
        <v>0.01</v>
      </c>
      <c r="S618" s="99">
        <f>$S$356</f>
        <v>110</v>
      </c>
      <c r="T618" s="99">
        <f>$T$356</f>
        <v>54</v>
      </c>
      <c r="U618" s="99">
        <f>$U$356</f>
        <v>1.2</v>
      </c>
      <c r="V618" s="37">
        <f>P618*E618</f>
        <v>951.36344</v>
      </c>
      <c r="W618" s="139"/>
      <c r="X618" s="139"/>
      <c r="Y618" s="139"/>
      <c r="Z618" s="139"/>
      <c r="AA618" s="139"/>
      <c r="AB618" s="139"/>
      <c r="AC618" s="139"/>
      <c r="AD618" s="139"/>
      <c r="AE618" s="139"/>
      <c r="AF618" s="140"/>
      <c r="AG618" s="140"/>
      <c r="AH618" s="140"/>
      <c r="AI618" s="140"/>
      <c r="AJ618" s="140"/>
      <c r="AK618" s="140"/>
      <c r="AL618" s="140"/>
      <c r="AM618" s="140"/>
      <c r="AN618" s="140"/>
      <c r="AO618" s="140"/>
      <c r="AP618" s="140"/>
      <c r="AQ618" s="140"/>
      <c r="AR618" s="140"/>
      <c r="AS618" s="140"/>
      <c r="AT618" s="140"/>
      <c r="AU618" s="140"/>
      <c r="AV618" s="140"/>
      <c r="AW618" s="140"/>
      <c r="AX618" s="140"/>
      <c r="AY618" s="140"/>
      <c r="AZ618" s="140"/>
      <c r="BA618" s="140"/>
      <c r="BB618" s="140"/>
      <c r="BC618" s="140"/>
      <c r="BD618" s="140"/>
      <c r="BE618" s="140"/>
    </row>
    <row r="619" s="119" customFormat="1" ht="24" customHeight="1" outlineLevel="1" spans="1:57">
      <c r="A619" s="141"/>
      <c r="B619" s="14" t="s">
        <v>101</v>
      </c>
      <c r="C619" s="15"/>
      <c r="D619" s="142"/>
      <c r="E619" s="143"/>
      <c r="F619" s="143"/>
      <c r="G619" s="143"/>
      <c r="H619" s="143"/>
      <c r="I619" s="143"/>
      <c r="J619" s="143"/>
      <c r="K619" s="144"/>
      <c r="L619" s="178"/>
      <c r="M619" s="139"/>
      <c r="N619" s="139"/>
      <c r="O619" s="139"/>
      <c r="P619" s="137"/>
      <c r="Q619" s="137"/>
      <c r="R619" s="138"/>
      <c r="S619" s="137"/>
      <c r="T619" s="137"/>
      <c r="U619" s="137"/>
      <c r="V619" s="137"/>
      <c r="W619" s="139"/>
      <c r="X619" s="139"/>
      <c r="Y619" s="139"/>
      <c r="Z619" s="139"/>
      <c r="AA619" s="139"/>
      <c r="AB619" s="139"/>
      <c r="AC619" s="139"/>
      <c r="AD619" s="139"/>
      <c r="AE619" s="139"/>
      <c r="AF619" s="140"/>
      <c r="AG619" s="140"/>
      <c r="AH619" s="140"/>
      <c r="AI619" s="140"/>
      <c r="AJ619" s="140"/>
      <c r="AK619" s="140"/>
      <c r="AL619" s="140"/>
      <c r="AM619" s="140"/>
      <c r="AN619" s="140"/>
      <c r="AO619" s="140"/>
      <c r="AP619" s="140"/>
      <c r="AQ619" s="140"/>
      <c r="AR619" s="140"/>
      <c r="AS619" s="140"/>
      <c r="AT619" s="140"/>
      <c r="AU619" s="140"/>
      <c r="AV619" s="140"/>
      <c r="AW619" s="140"/>
      <c r="AX619" s="140"/>
      <c r="AY619" s="140"/>
      <c r="AZ619" s="140"/>
      <c r="BA619" s="140"/>
      <c r="BB619" s="140"/>
      <c r="BC619" s="140"/>
      <c r="BD619" s="140"/>
      <c r="BE619" s="140"/>
    </row>
    <row r="620" s="119" customFormat="1" ht="96" customHeight="1" outlineLevel="2" spans="1:57">
      <c r="A620" s="162">
        <f t="shared" ref="A620:A625" si="171">1+N(A619)</f>
        <v>1</v>
      </c>
      <c r="B620" s="14" t="s">
        <v>102</v>
      </c>
      <c r="C620" s="167" t="s">
        <v>103</v>
      </c>
      <c r="D620" s="142" t="s">
        <v>63</v>
      </c>
      <c r="E620" s="143">
        <v>23.89</v>
      </c>
      <c r="F620" s="143">
        <f>$F$28</f>
        <v>70</v>
      </c>
      <c r="G620" s="143">
        <f>$G$28</f>
        <v>0</v>
      </c>
      <c r="H620" s="143">
        <f>$H$28</f>
        <v>66.711</v>
      </c>
      <c r="I620" s="17">
        <f t="shared" ref="I620:I625" si="172">(F620+G620+H620)*$I$3</f>
        <v>13.6711</v>
      </c>
      <c r="J620" s="18">
        <f t="shared" ref="J620:J625" si="173">ROUND(SUM(F620:I620),2)</f>
        <v>150.38</v>
      </c>
      <c r="K620" s="19">
        <f t="shared" ref="K620:K625" si="174">ROUND(J620*E620,2)</f>
        <v>3592.58</v>
      </c>
      <c r="L620" s="178"/>
      <c r="M620" s="139">
        <v>1</v>
      </c>
      <c r="N620" s="139">
        <v>3266</v>
      </c>
      <c r="O620" s="139"/>
      <c r="P620" s="37">
        <f t="shared" ref="P620:P625" si="175">Q620+Q620*R620+S620+T620+U620</f>
        <v>136.711</v>
      </c>
      <c r="Q620" s="99">
        <f>$Q$28</f>
        <v>0</v>
      </c>
      <c r="R620" s="163">
        <f>$R$28</f>
        <v>0.01</v>
      </c>
      <c r="S620" s="99">
        <f>$S$28</f>
        <v>70</v>
      </c>
      <c r="T620" s="99">
        <f>$T$28</f>
        <v>64.711</v>
      </c>
      <c r="U620" s="99">
        <f>$U$28</f>
        <v>2</v>
      </c>
      <c r="V620" s="37">
        <f t="shared" ref="V620:V625" si="176">P620*E620</f>
        <v>3266.02579</v>
      </c>
      <c r="W620" s="139"/>
      <c r="X620" s="139"/>
      <c r="Y620" s="139"/>
      <c r="Z620" s="139"/>
      <c r="AA620" s="139"/>
      <c r="AB620" s="139"/>
      <c r="AC620" s="139"/>
      <c r="AD620" s="139"/>
      <c r="AE620" s="139"/>
      <c r="AF620" s="140"/>
      <c r="AG620" s="140"/>
      <c r="AH620" s="140"/>
      <c r="AI620" s="140"/>
      <c r="AJ620" s="140"/>
      <c r="AK620" s="140"/>
      <c r="AL620" s="140"/>
      <c r="AM620" s="140"/>
      <c r="AN620" s="140"/>
      <c r="AO620" s="140"/>
      <c r="AP620" s="140"/>
      <c r="AQ620" s="140"/>
      <c r="AR620" s="140"/>
      <c r="AS620" s="140"/>
      <c r="AT620" s="140"/>
      <c r="AU620" s="140"/>
      <c r="AV620" s="140"/>
      <c r="AW620" s="140"/>
      <c r="AX620" s="140"/>
      <c r="AY620" s="140"/>
      <c r="AZ620" s="140"/>
      <c r="BA620" s="140"/>
      <c r="BB620" s="140"/>
      <c r="BC620" s="140"/>
      <c r="BD620" s="140"/>
      <c r="BE620" s="140"/>
    </row>
    <row r="621" s="119" customFormat="1" ht="48" customHeight="1" outlineLevel="2" spans="1:57">
      <c r="A621" s="162">
        <f t="shared" si="171"/>
        <v>2</v>
      </c>
      <c r="B621" s="14" t="s">
        <v>104</v>
      </c>
      <c r="C621" s="15" t="s">
        <v>105</v>
      </c>
      <c r="D621" s="142" t="s">
        <v>70</v>
      </c>
      <c r="E621" s="143">
        <v>11.5</v>
      </c>
      <c r="F621" s="143">
        <f>$F$29</f>
        <v>50</v>
      </c>
      <c r="G621" s="143">
        <f>$G$29</f>
        <v>0</v>
      </c>
      <c r="H621" s="143">
        <f>$H$29</f>
        <v>22.0941</v>
      </c>
      <c r="I621" s="17">
        <f t="shared" si="172"/>
        <v>7.20941</v>
      </c>
      <c r="J621" s="18">
        <f t="shared" si="173"/>
        <v>79.3</v>
      </c>
      <c r="K621" s="19">
        <f t="shared" si="174"/>
        <v>911.95</v>
      </c>
      <c r="L621" s="178"/>
      <c r="M621" s="139">
        <v>1</v>
      </c>
      <c r="N621" s="139">
        <v>829.04</v>
      </c>
      <c r="O621" s="139"/>
      <c r="P621" s="37">
        <f t="shared" si="175"/>
        <v>72.0941</v>
      </c>
      <c r="Q621" s="99">
        <f>$Q$29</f>
        <v>0</v>
      </c>
      <c r="R621" s="163">
        <f>$R$29</f>
        <v>0.01</v>
      </c>
      <c r="S621" s="99">
        <f>$S$29</f>
        <v>50</v>
      </c>
      <c r="T621" s="99">
        <f>$T$29</f>
        <v>22.0941</v>
      </c>
      <c r="U621" s="99">
        <f>$U$29</f>
        <v>0</v>
      </c>
      <c r="V621" s="37">
        <f t="shared" si="176"/>
        <v>829.08215</v>
      </c>
      <c r="W621" s="139"/>
      <c r="X621" s="139"/>
      <c r="Y621" s="139"/>
      <c r="Z621" s="139"/>
      <c r="AA621" s="139"/>
      <c r="AB621" s="139"/>
      <c r="AC621" s="139"/>
      <c r="AD621" s="139"/>
      <c r="AE621" s="139"/>
      <c r="AF621" s="140"/>
      <c r="AG621" s="140"/>
      <c r="AH621" s="140"/>
      <c r="AI621" s="140"/>
      <c r="AJ621" s="140"/>
      <c r="AK621" s="140"/>
      <c r="AL621" s="140"/>
      <c r="AM621" s="140"/>
      <c r="AN621" s="140"/>
      <c r="AO621" s="140"/>
      <c r="AP621" s="140"/>
      <c r="AQ621" s="140"/>
      <c r="AR621" s="140"/>
      <c r="AS621" s="140"/>
      <c r="AT621" s="140"/>
      <c r="AU621" s="140"/>
      <c r="AV621" s="140"/>
      <c r="AW621" s="140"/>
      <c r="AX621" s="140"/>
      <c r="AY621" s="140"/>
      <c r="AZ621" s="140"/>
      <c r="BA621" s="140"/>
      <c r="BB621" s="140"/>
      <c r="BC621" s="140"/>
      <c r="BD621" s="140"/>
      <c r="BE621" s="140"/>
    </row>
    <row r="622" s="119" customFormat="1" ht="48" customHeight="1" outlineLevel="2" spans="1:57">
      <c r="A622" s="162">
        <f t="shared" si="171"/>
        <v>3</v>
      </c>
      <c r="B622" s="14" t="s">
        <v>106</v>
      </c>
      <c r="C622" s="15" t="s">
        <v>107</v>
      </c>
      <c r="D622" s="142" t="s">
        <v>70</v>
      </c>
      <c r="E622" s="143">
        <v>11.5</v>
      </c>
      <c r="F622" s="143">
        <f>$F$30</f>
        <v>18</v>
      </c>
      <c r="G622" s="143">
        <f>$G$30</f>
        <v>163.255</v>
      </c>
      <c r="H622" s="143">
        <f>$H$30</f>
        <v>3.8</v>
      </c>
      <c r="I622" s="17">
        <f t="shared" si="172"/>
        <v>18.5055</v>
      </c>
      <c r="J622" s="18">
        <f t="shared" si="173"/>
        <v>203.56</v>
      </c>
      <c r="K622" s="19">
        <f t="shared" si="174"/>
        <v>2340.94</v>
      </c>
      <c r="L622" s="178"/>
      <c r="M622" s="139">
        <v>1</v>
      </c>
      <c r="N622" s="139">
        <v>2128.19</v>
      </c>
      <c r="O622" s="139"/>
      <c r="P622" s="37">
        <f t="shared" si="175"/>
        <v>185.055</v>
      </c>
      <c r="Q622" s="99">
        <f>$Q$30</f>
        <v>158.5</v>
      </c>
      <c r="R622" s="163">
        <f>$R$30</f>
        <v>0.03</v>
      </c>
      <c r="S622" s="99">
        <f>$S$30</f>
        <v>18</v>
      </c>
      <c r="T622" s="99">
        <f>$T$30</f>
        <v>3.5</v>
      </c>
      <c r="U622" s="99">
        <f>$U$30</f>
        <v>0.3</v>
      </c>
      <c r="V622" s="37">
        <f t="shared" si="176"/>
        <v>2128.1325</v>
      </c>
      <c r="W622" s="139"/>
      <c r="X622" s="139"/>
      <c r="Y622" s="139"/>
      <c r="Z622" s="139"/>
      <c r="AA622" s="139"/>
      <c r="AB622" s="139"/>
      <c r="AC622" s="139"/>
      <c r="AD622" s="139"/>
      <c r="AE622" s="139"/>
      <c r="AF622" s="140"/>
      <c r="AG622" s="140"/>
      <c r="AH622" s="140"/>
      <c r="AI622" s="140"/>
      <c r="AJ622" s="140"/>
      <c r="AK622" s="140"/>
      <c r="AL622" s="140"/>
      <c r="AM622" s="140"/>
      <c r="AN622" s="140"/>
      <c r="AO622" s="140"/>
      <c r="AP622" s="140"/>
      <c r="AQ622" s="140"/>
      <c r="AR622" s="140"/>
      <c r="AS622" s="140"/>
      <c r="AT622" s="140"/>
      <c r="AU622" s="140"/>
      <c r="AV622" s="140"/>
      <c r="AW622" s="140"/>
      <c r="AX622" s="140"/>
      <c r="AY622" s="140"/>
      <c r="AZ622" s="140"/>
      <c r="BA622" s="140"/>
      <c r="BB622" s="140"/>
      <c r="BC622" s="140"/>
      <c r="BD622" s="140"/>
      <c r="BE622" s="140"/>
    </row>
    <row r="623" s="119" customFormat="1" ht="60" customHeight="1" outlineLevel="2" spans="1:57">
      <c r="A623" s="162">
        <f t="shared" si="171"/>
        <v>4</v>
      </c>
      <c r="B623" s="14" t="s">
        <v>268</v>
      </c>
      <c r="C623" s="15" t="s">
        <v>269</v>
      </c>
      <c r="D623" s="142" t="s">
        <v>70</v>
      </c>
      <c r="E623" s="143">
        <v>7.34</v>
      </c>
      <c r="F623" s="143">
        <f>$F$472</f>
        <v>55</v>
      </c>
      <c r="G623" s="143">
        <f>$G$472</f>
        <v>0</v>
      </c>
      <c r="H623" s="143">
        <f>$H$472</f>
        <v>29.6688</v>
      </c>
      <c r="I623" s="17">
        <f t="shared" si="172"/>
        <v>8.46688</v>
      </c>
      <c r="J623" s="18">
        <f t="shared" si="173"/>
        <v>93.14</v>
      </c>
      <c r="K623" s="19">
        <f t="shared" si="174"/>
        <v>683.65</v>
      </c>
      <c r="L623" s="178"/>
      <c r="M623" s="139">
        <v>1</v>
      </c>
      <c r="N623" s="139">
        <v>621.48</v>
      </c>
      <c r="O623" s="139"/>
      <c r="P623" s="37">
        <f t="shared" si="175"/>
        <v>84.6688</v>
      </c>
      <c r="Q623" s="99">
        <f>$Q$472</f>
        <v>0</v>
      </c>
      <c r="R623" s="163">
        <f>$R$472</f>
        <v>0.01</v>
      </c>
      <c r="S623" s="99">
        <f>$S$472</f>
        <v>55</v>
      </c>
      <c r="T623" s="99">
        <f>$T$472</f>
        <v>29.6688</v>
      </c>
      <c r="U623" s="99">
        <f>$U$472</f>
        <v>0</v>
      </c>
      <c r="V623" s="37">
        <f t="shared" si="176"/>
        <v>621.468992</v>
      </c>
      <c r="W623" s="139"/>
      <c r="X623" s="139"/>
      <c r="Y623" s="139"/>
      <c r="Z623" s="139"/>
      <c r="AA623" s="139"/>
      <c r="AB623" s="139"/>
      <c r="AC623" s="139"/>
      <c r="AD623" s="139"/>
      <c r="AE623" s="139"/>
      <c r="AF623" s="140"/>
      <c r="AG623" s="140"/>
      <c r="AH623" s="140"/>
      <c r="AI623" s="140"/>
      <c r="AJ623" s="140"/>
      <c r="AK623" s="140"/>
      <c r="AL623" s="140"/>
      <c r="AM623" s="140"/>
      <c r="AN623" s="140"/>
      <c r="AO623" s="140"/>
      <c r="AP623" s="140"/>
      <c r="AQ623" s="140"/>
      <c r="AR623" s="140"/>
      <c r="AS623" s="140"/>
      <c r="AT623" s="140"/>
      <c r="AU623" s="140"/>
      <c r="AV623" s="140"/>
      <c r="AW623" s="140"/>
      <c r="AX623" s="140"/>
      <c r="AY623" s="140"/>
      <c r="AZ623" s="140"/>
      <c r="BA623" s="140"/>
      <c r="BB623" s="140"/>
      <c r="BC623" s="140"/>
      <c r="BD623" s="140"/>
      <c r="BE623" s="140"/>
    </row>
    <row r="624" s="119" customFormat="1" ht="48" customHeight="1" outlineLevel="2" spans="1:57">
      <c r="A624" s="162">
        <f t="shared" si="171"/>
        <v>5</v>
      </c>
      <c r="B624" s="14" t="s">
        <v>108</v>
      </c>
      <c r="C624" s="15" t="s">
        <v>109</v>
      </c>
      <c r="D624" s="142" t="s">
        <v>70</v>
      </c>
      <c r="E624" s="143">
        <f>1.2*2*1</f>
        <v>2.4</v>
      </c>
      <c r="F624" s="143">
        <f>$F$31</f>
        <v>30</v>
      </c>
      <c r="G624" s="143">
        <f>$G$31</f>
        <v>65.6625</v>
      </c>
      <c r="H624" s="143">
        <f>$H$31</f>
        <v>2.7</v>
      </c>
      <c r="I624" s="17">
        <f t="shared" si="172"/>
        <v>9.83625</v>
      </c>
      <c r="J624" s="18">
        <f t="shared" si="173"/>
        <v>108.2</v>
      </c>
      <c r="K624" s="19">
        <f t="shared" si="174"/>
        <v>259.68</v>
      </c>
      <c r="L624" s="178"/>
      <c r="M624" s="139">
        <v>1</v>
      </c>
      <c r="N624" s="139">
        <v>236.06</v>
      </c>
      <c r="O624" s="139"/>
      <c r="P624" s="37">
        <f t="shared" si="175"/>
        <v>98.3625</v>
      </c>
      <c r="Q624" s="99">
        <f>$Q$31</f>
        <v>63.75</v>
      </c>
      <c r="R624" s="163">
        <f>$R$31</f>
        <v>0.03</v>
      </c>
      <c r="S624" s="99">
        <f>$S$31</f>
        <v>30</v>
      </c>
      <c r="T624" s="99">
        <f>$T$31</f>
        <v>2.5</v>
      </c>
      <c r="U624" s="99">
        <f>$U$31</f>
        <v>0.2</v>
      </c>
      <c r="V624" s="37">
        <f t="shared" si="176"/>
        <v>236.07</v>
      </c>
      <c r="W624" s="139"/>
      <c r="X624" s="139"/>
      <c r="Y624" s="139"/>
      <c r="Z624" s="139"/>
      <c r="AA624" s="139"/>
      <c r="AB624" s="139"/>
      <c r="AC624" s="139"/>
      <c r="AD624" s="139"/>
      <c r="AE624" s="139"/>
      <c r="AF624" s="140"/>
      <c r="AG624" s="140"/>
      <c r="AH624" s="140"/>
      <c r="AI624" s="140"/>
      <c r="AJ624" s="140"/>
      <c r="AK624" s="140"/>
      <c r="AL624" s="140"/>
      <c r="AM624" s="140"/>
      <c r="AN624" s="140"/>
      <c r="AO624" s="140"/>
      <c r="AP624" s="140"/>
      <c r="AQ624" s="140"/>
      <c r="AR624" s="140"/>
      <c r="AS624" s="140"/>
      <c r="AT624" s="140"/>
      <c r="AU624" s="140"/>
      <c r="AV624" s="140"/>
      <c r="AW624" s="140"/>
      <c r="AX624" s="140"/>
      <c r="AY624" s="140"/>
      <c r="AZ624" s="140"/>
      <c r="BA624" s="140"/>
      <c r="BB624" s="140"/>
      <c r="BC624" s="140"/>
      <c r="BD624" s="140"/>
      <c r="BE624" s="140"/>
    </row>
    <row r="625" s="119" customFormat="1" ht="60" customHeight="1" outlineLevel="2" spans="1:57">
      <c r="A625" s="162">
        <f t="shared" si="171"/>
        <v>6</v>
      </c>
      <c r="B625" s="14" t="s">
        <v>110</v>
      </c>
      <c r="C625" s="15" t="s">
        <v>111</v>
      </c>
      <c r="D625" s="142" t="s">
        <v>63</v>
      </c>
      <c r="E625" s="143">
        <v>23.89</v>
      </c>
      <c r="F625" s="143">
        <f>$F$32</f>
        <v>45</v>
      </c>
      <c r="G625" s="143">
        <f>$G$32</f>
        <v>85.5</v>
      </c>
      <c r="H625" s="143">
        <f>$H$32</f>
        <v>7.3</v>
      </c>
      <c r="I625" s="17">
        <f t="shared" si="172"/>
        <v>13.78</v>
      </c>
      <c r="J625" s="18">
        <f t="shared" si="173"/>
        <v>151.58</v>
      </c>
      <c r="K625" s="19">
        <f t="shared" si="174"/>
        <v>3621.25</v>
      </c>
      <c r="L625" s="178"/>
      <c r="M625" s="139">
        <v>1</v>
      </c>
      <c r="N625" s="139">
        <v>3292.04</v>
      </c>
      <c r="O625" s="139"/>
      <c r="P625" s="37">
        <f t="shared" si="175"/>
        <v>137.8</v>
      </c>
      <c r="Q625" s="99">
        <f>$Q$32</f>
        <v>85.5</v>
      </c>
      <c r="R625" s="163">
        <f>$R$32</f>
        <v>0</v>
      </c>
      <c r="S625" s="99">
        <f>$S$32</f>
        <v>45</v>
      </c>
      <c r="T625" s="99">
        <f>$T$32</f>
        <v>6.5</v>
      </c>
      <c r="U625" s="99">
        <f>$U$32</f>
        <v>0.8</v>
      </c>
      <c r="V625" s="37">
        <f t="shared" si="176"/>
        <v>3292.042</v>
      </c>
      <c r="W625" s="139"/>
      <c r="X625" s="139"/>
      <c r="Y625" s="139"/>
      <c r="Z625" s="139"/>
      <c r="AA625" s="139"/>
      <c r="AB625" s="139"/>
      <c r="AC625" s="139"/>
      <c r="AD625" s="139"/>
      <c r="AE625" s="139"/>
      <c r="AF625" s="140"/>
      <c r="AG625" s="140"/>
      <c r="AH625" s="140"/>
      <c r="AI625" s="140"/>
      <c r="AJ625" s="140"/>
      <c r="AK625" s="140"/>
      <c r="AL625" s="140"/>
      <c r="AM625" s="140"/>
      <c r="AN625" s="140"/>
      <c r="AO625" s="140"/>
      <c r="AP625" s="140"/>
      <c r="AQ625" s="140"/>
      <c r="AR625" s="140"/>
      <c r="AS625" s="140"/>
      <c r="AT625" s="140"/>
      <c r="AU625" s="140"/>
      <c r="AV625" s="140"/>
      <c r="AW625" s="140"/>
      <c r="AX625" s="140"/>
      <c r="AY625" s="140"/>
      <c r="AZ625" s="140"/>
      <c r="BA625" s="140"/>
      <c r="BB625" s="140"/>
      <c r="BC625" s="140"/>
      <c r="BD625" s="140"/>
      <c r="BE625" s="140"/>
    </row>
    <row r="626" s="119" customFormat="1" ht="24" customHeight="1" outlineLevel="1" spans="1:57">
      <c r="A626" s="141"/>
      <c r="B626" s="14" t="s">
        <v>112</v>
      </c>
      <c r="C626" s="15"/>
      <c r="D626" s="142"/>
      <c r="E626" s="143"/>
      <c r="F626" s="143"/>
      <c r="G626" s="143"/>
      <c r="H626" s="143"/>
      <c r="I626" s="143"/>
      <c r="J626" s="143"/>
      <c r="K626" s="144"/>
      <c r="L626" s="178"/>
      <c r="M626" s="139"/>
      <c r="N626" s="139"/>
      <c r="O626" s="139"/>
      <c r="P626" s="137"/>
      <c r="Q626" s="137"/>
      <c r="R626" s="138"/>
      <c r="S626" s="137"/>
      <c r="T626" s="137"/>
      <c r="U626" s="137"/>
      <c r="V626" s="137"/>
      <c r="W626" s="139"/>
      <c r="X626" s="139"/>
      <c r="Y626" s="139"/>
      <c r="Z626" s="139"/>
      <c r="AA626" s="139"/>
      <c r="AB626" s="139"/>
      <c r="AC626" s="139"/>
      <c r="AD626" s="139"/>
      <c r="AE626" s="139"/>
      <c r="AF626" s="140"/>
      <c r="AG626" s="140"/>
      <c r="AH626" s="140"/>
      <c r="AI626" s="140"/>
      <c r="AJ626" s="140"/>
      <c r="AK626" s="140"/>
      <c r="AL626" s="140"/>
      <c r="AM626" s="140"/>
      <c r="AN626" s="140"/>
      <c r="AO626" s="140"/>
      <c r="AP626" s="140"/>
      <c r="AQ626" s="140"/>
      <c r="AR626" s="140"/>
      <c r="AS626" s="140"/>
      <c r="AT626" s="140"/>
      <c r="AU626" s="140"/>
      <c r="AV626" s="140"/>
      <c r="AW626" s="140"/>
      <c r="AX626" s="140"/>
      <c r="AY626" s="140"/>
      <c r="AZ626" s="140"/>
      <c r="BA626" s="140"/>
      <c r="BB626" s="140"/>
      <c r="BC626" s="140"/>
      <c r="BD626" s="140"/>
      <c r="BE626" s="140"/>
    </row>
    <row r="627" s="119" customFormat="1" ht="60" customHeight="1" outlineLevel="2" spans="1:57">
      <c r="A627" s="145">
        <f>1+N(A626)</f>
        <v>1</v>
      </c>
      <c r="B627" s="146" t="s">
        <v>336</v>
      </c>
      <c r="C627" s="147" t="s">
        <v>296</v>
      </c>
      <c r="D627" s="148" t="s">
        <v>63</v>
      </c>
      <c r="E627" s="149">
        <f>1.04*3.4</f>
        <v>3.536</v>
      </c>
      <c r="F627" s="149">
        <f>S627*$S$1</f>
        <v>145</v>
      </c>
      <c r="G627" s="149">
        <f>Q627*(1+R627)*$Q$1</f>
        <v>1250</v>
      </c>
      <c r="H627" s="149">
        <f>(T627+U627)*$T$1</f>
        <v>28.5</v>
      </c>
      <c r="I627" s="150">
        <f>(F627+G627+H627)*$I$3</f>
        <v>142.35</v>
      </c>
      <c r="J627" s="151">
        <f>ROUND(SUM(F627:I627),2)</f>
        <v>1565.85</v>
      </c>
      <c r="K627" s="152">
        <f>ROUND(J627*E627,2)</f>
        <v>5536.85</v>
      </c>
      <c r="L627" s="178"/>
      <c r="M627" s="139">
        <v>1</v>
      </c>
      <c r="N627" s="139">
        <v>5033.5</v>
      </c>
      <c r="O627" s="139"/>
      <c r="P627" s="37">
        <f>Q627+Q627*R627+S627+T627+U627</f>
        <v>1423.5</v>
      </c>
      <c r="Q627" s="71">
        <v>1250</v>
      </c>
      <c r="R627" s="157">
        <v>0</v>
      </c>
      <c r="S627" s="71">
        <v>145</v>
      </c>
      <c r="T627" s="71">
        <v>27</v>
      </c>
      <c r="U627" s="71">
        <v>1.5</v>
      </c>
      <c r="V627" s="37">
        <f>P627*E627</f>
        <v>5033.496</v>
      </c>
      <c r="W627" s="139"/>
      <c r="X627" s="139"/>
      <c r="Y627" s="139"/>
      <c r="Z627" s="139"/>
      <c r="AA627" s="139"/>
      <c r="AB627" s="139"/>
      <c r="AC627" s="139"/>
      <c r="AD627" s="139"/>
      <c r="AE627" s="139"/>
      <c r="AF627" s="140"/>
      <c r="AG627" s="140"/>
      <c r="AH627" s="140"/>
      <c r="AI627" s="140"/>
      <c r="AJ627" s="140"/>
      <c r="AK627" s="140"/>
      <c r="AL627" s="140"/>
      <c r="AM627" s="140"/>
      <c r="AN627" s="140"/>
      <c r="AO627" s="140"/>
      <c r="AP627" s="140"/>
      <c r="AQ627" s="140"/>
      <c r="AR627" s="140"/>
      <c r="AS627" s="140"/>
      <c r="AT627" s="140"/>
      <c r="AU627" s="140"/>
      <c r="AV627" s="140"/>
      <c r="AW627" s="140"/>
      <c r="AX627" s="140"/>
      <c r="AY627" s="140"/>
      <c r="AZ627" s="140"/>
      <c r="BA627" s="140"/>
      <c r="BB627" s="140"/>
      <c r="BC627" s="140"/>
      <c r="BD627" s="140"/>
      <c r="BE627" s="140"/>
    </row>
    <row r="628" s="119" customFormat="1" ht="24" customHeight="1" outlineLevel="1" spans="1:57">
      <c r="A628" s="132" t="s">
        <v>159</v>
      </c>
      <c r="B628" s="8" t="s">
        <v>337</v>
      </c>
      <c r="C628" s="180"/>
      <c r="D628" s="133"/>
      <c r="E628" s="134"/>
      <c r="F628" s="134"/>
      <c r="G628" s="134"/>
      <c r="H628" s="134"/>
      <c r="I628" s="134"/>
      <c r="J628" s="134"/>
      <c r="K628" s="11"/>
      <c r="L628" s="178"/>
      <c r="M628" s="139"/>
      <c r="N628" s="139"/>
      <c r="O628" s="139" t="str">
        <f>_xlfn.DISPIMG("ID_2C8641C191E24476BECB7EF61417BE62",1)</f>
        <v>=DISPIMG("ID_2C8641C191E24476BECB7EF61417BE62",1)</v>
      </c>
      <c r="P628" s="137"/>
      <c r="Q628" s="137"/>
      <c r="R628" s="138"/>
      <c r="S628" s="137"/>
      <c r="T628" s="137"/>
      <c r="U628" s="137"/>
      <c r="V628" s="137"/>
      <c r="W628" s="139"/>
      <c r="X628" s="139"/>
      <c r="Y628" s="139"/>
      <c r="Z628" s="139"/>
      <c r="AA628" s="139"/>
      <c r="AB628" s="139"/>
      <c r="AC628" s="139"/>
      <c r="AD628" s="139"/>
      <c r="AE628" s="139"/>
      <c r="AF628" s="140"/>
      <c r="AG628" s="140"/>
      <c r="AH628" s="140"/>
      <c r="AI628" s="140"/>
      <c r="AJ628" s="140"/>
      <c r="AK628" s="140"/>
      <c r="AL628" s="140"/>
      <c r="AM628" s="140"/>
      <c r="AN628" s="140"/>
      <c r="AO628" s="140"/>
      <c r="AP628" s="140"/>
      <c r="AQ628" s="140"/>
      <c r="AR628" s="140"/>
      <c r="AS628" s="140"/>
      <c r="AT628" s="140"/>
      <c r="AU628" s="140"/>
      <c r="AV628" s="140"/>
      <c r="AW628" s="140"/>
      <c r="AX628" s="140"/>
      <c r="AY628" s="140"/>
      <c r="AZ628" s="140"/>
      <c r="BA628" s="140"/>
      <c r="BB628" s="140"/>
      <c r="BC628" s="140"/>
      <c r="BD628" s="140"/>
      <c r="BE628" s="140"/>
    </row>
    <row r="629" s="119" customFormat="1" ht="24" customHeight="1" outlineLevel="1" spans="1:57">
      <c r="A629" s="141"/>
      <c r="B629" s="14" t="s">
        <v>60</v>
      </c>
      <c r="C629" s="15"/>
      <c r="D629" s="142"/>
      <c r="E629" s="143"/>
      <c r="F629" s="143"/>
      <c r="G629" s="143"/>
      <c r="H629" s="143"/>
      <c r="I629" s="143"/>
      <c r="J629" s="143"/>
      <c r="K629" s="144"/>
      <c r="L629" s="178"/>
      <c r="M629" s="139"/>
      <c r="N629" s="139"/>
      <c r="O629" s="139"/>
      <c r="P629" s="137"/>
      <c r="Q629" s="137"/>
      <c r="R629" s="138"/>
      <c r="S629" s="137"/>
      <c r="T629" s="137"/>
      <c r="U629" s="137"/>
      <c r="V629" s="137"/>
      <c r="W629" s="139"/>
      <c r="X629" s="139"/>
      <c r="Y629" s="139"/>
      <c r="Z629" s="139"/>
      <c r="AA629" s="139"/>
      <c r="AB629" s="139"/>
      <c r="AC629" s="139"/>
      <c r="AD629" s="139"/>
      <c r="AE629" s="139"/>
      <c r="AF629" s="140"/>
      <c r="AG629" s="140"/>
      <c r="AH629" s="140"/>
      <c r="AI629" s="140"/>
      <c r="AJ629" s="140"/>
      <c r="AK629" s="140"/>
      <c r="AL629" s="140"/>
      <c r="AM629" s="140"/>
      <c r="AN629" s="140"/>
      <c r="AO629" s="140"/>
      <c r="AP629" s="140"/>
      <c r="AQ629" s="140"/>
      <c r="AR629" s="140"/>
      <c r="AS629" s="140"/>
      <c r="AT629" s="140"/>
      <c r="AU629" s="140"/>
      <c r="AV629" s="140"/>
      <c r="AW629" s="140"/>
      <c r="AX629" s="140"/>
      <c r="AY629" s="140"/>
      <c r="AZ629" s="140"/>
      <c r="BA629" s="140"/>
      <c r="BB629" s="140"/>
      <c r="BC629" s="140"/>
      <c r="BD629" s="140"/>
      <c r="BE629" s="140"/>
    </row>
    <row r="630" s="119" customFormat="1" ht="72" customHeight="1" outlineLevel="2" spans="1:57">
      <c r="A630" s="162">
        <f>1+N(A629)</f>
        <v>1</v>
      </c>
      <c r="B630" s="14" t="s">
        <v>325</v>
      </c>
      <c r="C630" s="15" t="s">
        <v>326</v>
      </c>
      <c r="D630" s="142" t="s">
        <v>63</v>
      </c>
      <c r="E630" s="143">
        <v>20.76</v>
      </c>
      <c r="F630" s="143">
        <f>$F$574</f>
        <v>36</v>
      </c>
      <c r="G630" s="143">
        <f>$G$574</f>
        <v>235.75</v>
      </c>
      <c r="H630" s="143">
        <f>$H$574</f>
        <v>17.5</v>
      </c>
      <c r="I630" s="17">
        <f>(F630+G630+H630)*$I$3</f>
        <v>28.925</v>
      </c>
      <c r="J630" s="18">
        <f>ROUND(SUM(F630:I630),2)</f>
        <v>318.18</v>
      </c>
      <c r="K630" s="19">
        <f>ROUND(J630*E630,2)</f>
        <v>6605.42</v>
      </c>
      <c r="L630" s="178"/>
      <c r="M630" s="139">
        <v>1</v>
      </c>
      <c r="N630" s="139">
        <v>6004.83</v>
      </c>
      <c r="O630" s="139"/>
      <c r="P630" s="37">
        <f>Q630+Q630*R630+S630+T630+U630</f>
        <v>289.25</v>
      </c>
      <c r="Q630" s="99">
        <f>$Q$574</f>
        <v>230</v>
      </c>
      <c r="R630" s="163">
        <f>$R$574</f>
        <v>0.025</v>
      </c>
      <c r="S630" s="99">
        <f>$S$574</f>
        <v>36</v>
      </c>
      <c r="T630" s="99">
        <f>$T$574</f>
        <v>17.5</v>
      </c>
      <c r="U630" s="99">
        <f>$U$574</f>
        <v>0</v>
      </c>
      <c r="V630" s="37">
        <f>P630*E630</f>
        <v>6004.83</v>
      </c>
      <c r="W630" s="139"/>
      <c r="X630" s="139"/>
      <c r="Y630" s="139"/>
      <c r="Z630" s="139"/>
      <c r="AA630" s="139"/>
      <c r="AB630" s="139"/>
      <c r="AC630" s="139"/>
      <c r="AD630" s="139"/>
      <c r="AE630" s="139"/>
      <c r="AF630" s="140"/>
      <c r="AG630" s="140"/>
      <c r="AH630" s="140"/>
      <c r="AI630" s="140"/>
      <c r="AJ630" s="140"/>
      <c r="AK630" s="140"/>
      <c r="AL630" s="140"/>
      <c r="AM630" s="140"/>
      <c r="AN630" s="140"/>
      <c r="AO630" s="140"/>
      <c r="AP630" s="140"/>
      <c r="AQ630" s="140"/>
      <c r="AR630" s="140"/>
      <c r="AS630" s="140"/>
      <c r="AT630" s="140"/>
      <c r="AU630" s="140"/>
      <c r="AV630" s="140"/>
      <c r="AW630" s="140"/>
      <c r="AX630" s="140"/>
      <c r="AY630" s="140"/>
      <c r="AZ630" s="140"/>
      <c r="BA630" s="140"/>
      <c r="BB630" s="140"/>
      <c r="BC630" s="140"/>
      <c r="BD630" s="140"/>
      <c r="BE630" s="140"/>
    </row>
    <row r="631" s="119" customFormat="1" ht="60" customHeight="1" outlineLevel="2" spans="1:57">
      <c r="A631" s="162">
        <f>1+N(A630)</f>
        <v>2</v>
      </c>
      <c r="B631" s="14" t="s">
        <v>168</v>
      </c>
      <c r="C631" s="15" t="s">
        <v>306</v>
      </c>
      <c r="D631" s="142" t="s">
        <v>63</v>
      </c>
      <c r="E631" s="143">
        <v>20.76</v>
      </c>
      <c r="F631" s="143">
        <f>$F$539</f>
        <v>28</v>
      </c>
      <c r="G631" s="143">
        <f>$G$539</f>
        <v>0</v>
      </c>
      <c r="H631" s="143">
        <f>$H$539</f>
        <v>31.8</v>
      </c>
      <c r="I631" s="17">
        <f>(F631+G631+H631)*$I$3</f>
        <v>5.98</v>
      </c>
      <c r="J631" s="18">
        <f>ROUND(SUM(F631:I631),2)</f>
        <v>65.78</v>
      </c>
      <c r="K631" s="19">
        <f>ROUND(J631*E631,2)</f>
        <v>1365.59</v>
      </c>
      <c r="L631" s="178"/>
      <c r="M631" s="139">
        <v>1</v>
      </c>
      <c r="N631" s="139">
        <v>1241.45</v>
      </c>
      <c r="O631" s="139"/>
      <c r="P631" s="37">
        <f>Q631+Q631*R631+S631+T631+U631</f>
        <v>59.8</v>
      </c>
      <c r="Q631" s="99">
        <f>$Q$539</f>
        <v>0</v>
      </c>
      <c r="R631" s="163">
        <f>$R$539</f>
        <v>0</v>
      </c>
      <c r="S631" s="99">
        <f>$S$539</f>
        <v>28</v>
      </c>
      <c r="T631" s="99">
        <f>$T$539</f>
        <v>31.5</v>
      </c>
      <c r="U631" s="99">
        <f>$U$539</f>
        <v>0.3</v>
      </c>
      <c r="V631" s="37">
        <f>P631*E631</f>
        <v>1241.448</v>
      </c>
      <c r="W631" s="139"/>
      <c r="X631" s="139"/>
      <c r="Y631" s="139"/>
      <c r="Z631" s="139"/>
      <c r="AA631" s="139"/>
      <c r="AB631" s="139"/>
      <c r="AC631" s="139"/>
      <c r="AD631" s="139"/>
      <c r="AE631" s="139"/>
      <c r="AF631" s="140"/>
      <c r="AG631" s="140"/>
      <c r="AH631" s="140"/>
      <c r="AI631" s="140"/>
      <c r="AJ631" s="140"/>
      <c r="AK631" s="140"/>
      <c r="AL631" s="140"/>
      <c r="AM631" s="140"/>
      <c r="AN631" s="140"/>
      <c r="AO631" s="140"/>
      <c r="AP631" s="140"/>
      <c r="AQ631" s="140"/>
      <c r="AR631" s="140"/>
      <c r="AS631" s="140"/>
      <c r="AT631" s="140"/>
      <c r="AU631" s="140"/>
      <c r="AV631" s="140"/>
      <c r="AW631" s="140"/>
      <c r="AX631" s="140"/>
      <c r="AY631" s="140"/>
      <c r="AZ631" s="140"/>
      <c r="BA631" s="140"/>
      <c r="BB631" s="140"/>
      <c r="BC631" s="140"/>
      <c r="BD631" s="140"/>
      <c r="BE631" s="140"/>
    </row>
    <row r="632" s="119" customFormat="1" ht="96" customHeight="1" outlineLevel="2" spans="1:57">
      <c r="A632" s="162">
        <f>1+N(A631)</f>
        <v>3</v>
      </c>
      <c r="B632" s="14" t="s">
        <v>61</v>
      </c>
      <c r="C632" s="15" t="s">
        <v>62</v>
      </c>
      <c r="D632" s="142" t="s">
        <v>63</v>
      </c>
      <c r="E632" s="143">
        <v>0.39</v>
      </c>
      <c r="F632" s="143">
        <f>$F$7</f>
        <v>130</v>
      </c>
      <c r="G632" s="143">
        <f>$G$7</f>
        <v>628.3</v>
      </c>
      <c r="H632" s="17">
        <f>$H$7</f>
        <v>47.7</v>
      </c>
      <c r="I632" s="17">
        <f>(F632+G632+H632)*$I$3</f>
        <v>80.6</v>
      </c>
      <c r="J632" s="18">
        <f>ROUND(SUM(F632:I632),2)</f>
        <v>886.6</v>
      </c>
      <c r="K632" s="19">
        <f>ROUND(J632*E632,2)</f>
        <v>345.77</v>
      </c>
      <c r="L632" s="178"/>
      <c r="M632" s="139">
        <v>1</v>
      </c>
      <c r="N632" s="139">
        <v>314.34</v>
      </c>
      <c r="O632" s="139"/>
      <c r="P632" s="37">
        <f>Q632+Q632*R632+S632+T632+U632</f>
        <v>806</v>
      </c>
      <c r="Q632" s="99">
        <f>$Q$7</f>
        <v>610</v>
      </c>
      <c r="R632" s="163">
        <f>$R$7</f>
        <v>0.03</v>
      </c>
      <c r="S632" s="99">
        <f>$S$7</f>
        <v>130</v>
      </c>
      <c r="T632" s="99">
        <f>$T$7</f>
        <v>46.2</v>
      </c>
      <c r="U632" s="99">
        <f>$U$7</f>
        <v>1.5</v>
      </c>
      <c r="V632" s="37">
        <f>P632*E632</f>
        <v>314.34</v>
      </c>
      <c r="W632" s="139"/>
      <c r="X632" s="139"/>
      <c r="Y632" s="139"/>
      <c r="Z632" s="139"/>
      <c r="AA632" s="139"/>
      <c r="AB632" s="139"/>
      <c r="AC632" s="139"/>
      <c r="AD632" s="139"/>
      <c r="AE632" s="139"/>
      <c r="AF632" s="140"/>
      <c r="AG632" s="140"/>
      <c r="AH632" s="140"/>
      <c r="AI632" s="140"/>
      <c r="AJ632" s="140"/>
      <c r="AK632" s="140"/>
      <c r="AL632" s="140"/>
      <c r="AM632" s="140"/>
      <c r="AN632" s="140"/>
      <c r="AO632" s="140"/>
      <c r="AP632" s="140"/>
      <c r="AQ632" s="140"/>
      <c r="AR632" s="140"/>
      <c r="AS632" s="140"/>
      <c r="AT632" s="140"/>
      <c r="AU632" s="140"/>
      <c r="AV632" s="140"/>
      <c r="AW632" s="140"/>
      <c r="AX632" s="140"/>
      <c r="AY632" s="140"/>
      <c r="AZ632" s="140"/>
      <c r="BA632" s="140"/>
      <c r="BB632" s="140"/>
      <c r="BC632" s="140"/>
      <c r="BD632" s="140"/>
      <c r="BE632" s="140"/>
    </row>
    <row r="633" s="119" customFormat="1" ht="48" customHeight="1" outlineLevel="2" spans="1:57">
      <c r="A633" s="162">
        <f>1+N(A632)</f>
        <v>4</v>
      </c>
      <c r="B633" s="14" t="s">
        <v>71</v>
      </c>
      <c r="C633" s="15" t="s">
        <v>72</v>
      </c>
      <c r="D633" s="142" t="s">
        <v>63</v>
      </c>
      <c r="E633" s="143">
        <v>0.39</v>
      </c>
      <c r="F633" s="143">
        <f>$F$11</f>
        <v>40</v>
      </c>
      <c r="G633" s="143">
        <f>$G$11</f>
        <v>15</v>
      </c>
      <c r="H633" s="143">
        <f>$H$11</f>
        <v>0.8</v>
      </c>
      <c r="I633" s="17">
        <f>(F633+G633+H633)*$I$3</f>
        <v>5.58</v>
      </c>
      <c r="J633" s="18">
        <f>ROUND(SUM(F633:I633),2)</f>
        <v>61.38</v>
      </c>
      <c r="K633" s="19">
        <f>ROUND(J633*E633,2)</f>
        <v>23.94</v>
      </c>
      <c r="L633" s="178"/>
      <c r="M633" s="139">
        <v>1</v>
      </c>
      <c r="N633" s="139">
        <v>21.76</v>
      </c>
      <c r="O633" s="139"/>
      <c r="P633" s="37">
        <f>Q633+Q633*R633+S633+T633+U633</f>
        <v>55.8</v>
      </c>
      <c r="Q633" s="99">
        <f>$Q$11</f>
        <v>15</v>
      </c>
      <c r="R633" s="163">
        <f>$R$11</f>
        <v>0</v>
      </c>
      <c r="S633" s="99">
        <f>$S$11</f>
        <v>40</v>
      </c>
      <c r="T633" s="99">
        <f>$T$11</f>
        <v>0.5</v>
      </c>
      <c r="U633" s="99">
        <f>$U$11</f>
        <v>0.3</v>
      </c>
      <c r="V633" s="37">
        <f>P633*E633</f>
        <v>21.762</v>
      </c>
      <c r="W633" s="139"/>
      <c r="X633" s="139"/>
      <c r="Y633" s="139"/>
      <c r="Z633" s="139"/>
      <c r="AA633" s="139"/>
      <c r="AB633" s="139"/>
      <c r="AC633" s="139"/>
      <c r="AD633" s="139"/>
      <c r="AE633" s="139"/>
      <c r="AF633" s="140"/>
      <c r="AG633" s="140"/>
      <c r="AH633" s="140"/>
      <c r="AI633" s="140"/>
      <c r="AJ633" s="140"/>
      <c r="AK633" s="140"/>
      <c r="AL633" s="140"/>
      <c r="AM633" s="140"/>
      <c r="AN633" s="140"/>
      <c r="AO633" s="140"/>
      <c r="AP633" s="140"/>
      <c r="AQ633" s="140"/>
      <c r="AR633" s="140"/>
      <c r="AS633" s="140"/>
      <c r="AT633" s="140"/>
      <c r="AU633" s="140"/>
      <c r="AV633" s="140"/>
      <c r="AW633" s="140"/>
      <c r="AX633" s="140"/>
      <c r="AY633" s="140"/>
      <c r="AZ633" s="140"/>
      <c r="BA633" s="140"/>
      <c r="BB633" s="140"/>
      <c r="BC633" s="140"/>
      <c r="BD633" s="140"/>
      <c r="BE633" s="140"/>
    </row>
    <row r="634" s="119" customFormat="1" ht="36" customHeight="1" outlineLevel="2" spans="1:57">
      <c r="A634" s="162">
        <f>1+N(A633)</f>
        <v>5</v>
      </c>
      <c r="B634" s="14" t="s">
        <v>68</v>
      </c>
      <c r="C634" s="15" t="s">
        <v>69</v>
      </c>
      <c r="D634" s="142" t="s">
        <v>70</v>
      </c>
      <c r="E634" s="143">
        <f>0.98*2</f>
        <v>1.96</v>
      </c>
      <c r="F634" s="143">
        <f>$F$10</f>
        <v>12</v>
      </c>
      <c r="G634" s="143">
        <f>$G$10</f>
        <v>19.57</v>
      </c>
      <c r="H634" s="143">
        <f>$H$10</f>
        <v>0.5</v>
      </c>
      <c r="I634" s="17">
        <f>(F634+G634+H634)*$I$3</f>
        <v>3.207</v>
      </c>
      <c r="J634" s="18">
        <f>ROUND(SUM(F634:I634),2)</f>
        <v>35.28</v>
      </c>
      <c r="K634" s="19">
        <f>ROUND(J634*E634,2)</f>
        <v>69.15</v>
      </c>
      <c r="L634" s="178"/>
      <c r="M634" s="139">
        <v>1</v>
      </c>
      <c r="N634" s="139">
        <v>62.86</v>
      </c>
      <c r="O634" s="139"/>
      <c r="P634" s="37">
        <f>Q634+Q634*R634+S634+T634+U634</f>
        <v>32.07</v>
      </c>
      <c r="Q634" s="99">
        <f>$Q$10</f>
        <v>19</v>
      </c>
      <c r="R634" s="163">
        <f>$R$10</f>
        <v>0.03</v>
      </c>
      <c r="S634" s="99">
        <f>$S$10</f>
        <v>12</v>
      </c>
      <c r="T634" s="99">
        <f>$T$10</f>
        <v>0.3</v>
      </c>
      <c r="U634" s="99">
        <f>$U$10</f>
        <v>0.2</v>
      </c>
      <c r="V634" s="37">
        <f>P634*E634</f>
        <v>62.8572</v>
      </c>
      <c r="W634" s="139"/>
      <c r="X634" s="139"/>
      <c r="Y634" s="139"/>
      <c r="Z634" s="139"/>
      <c r="AA634" s="139"/>
      <c r="AB634" s="139"/>
      <c r="AC634" s="139"/>
      <c r="AD634" s="139"/>
      <c r="AE634" s="139"/>
      <c r="AF634" s="140"/>
      <c r="AG634" s="140"/>
      <c r="AH634" s="140"/>
      <c r="AI634" s="140"/>
      <c r="AJ634" s="140"/>
      <c r="AK634" s="140"/>
      <c r="AL634" s="140"/>
      <c r="AM634" s="140"/>
      <c r="AN634" s="140"/>
      <c r="AO634" s="140"/>
      <c r="AP634" s="140"/>
      <c r="AQ634" s="140"/>
      <c r="AR634" s="140"/>
      <c r="AS634" s="140"/>
      <c r="AT634" s="140"/>
      <c r="AU634" s="140"/>
      <c r="AV634" s="140"/>
      <c r="AW634" s="140"/>
      <c r="AX634" s="140"/>
      <c r="AY634" s="140"/>
      <c r="AZ634" s="140"/>
      <c r="BA634" s="140"/>
      <c r="BB634" s="140"/>
      <c r="BC634" s="140"/>
      <c r="BD634" s="140"/>
      <c r="BE634" s="140"/>
    </row>
    <row r="635" s="119" customFormat="1" ht="24" customHeight="1" outlineLevel="1" spans="1:57">
      <c r="A635" s="141"/>
      <c r="B635" s="14" t="s">
        <v>73</v>
      </c>
      <c r="C635" s="15"/>
      <c r="D635" s="142"/>
      <c r="E635" s="143"/>
      <c r="F635" s="143"/>
      <c r="G635" s="143"/>
      <c r="H635" s="143"/>
      <c r="I635" s="143"/>
      <c r="J635" s="143"/>
      <c r="K635" s="144"/>
      <c r="L635" s="178"/>
      <c r="M635" s="139"/>
      <c r="N635" s="139"/>
      <c r="O635" s="139"/>
      <c r="P635" s="137"/>
      <c r="Q635" s="137"/>
      <c r="R635" s="138"/>
      <c r="S635" s="137"/>
      <c r="T635" s="137"/>
      <c r="U635" s="137"/>
      <c r="V635" s="137"/>
      <c r="W635" s="139"/>
      <c r="X635" s="139"/>
      <c r="Y635" s="139"/>
      <c r="Z635" s="139"/>
      <c r="AA635" s="139"/>
      <c r="AB635" s="139"/>
      <c r="AC635" s="139"/>
      <c r="AD635" s="139"/>
      <c r="AE635" s="139"/>
      <c r="AF635" s="140"/>
      <c r="AG635" s="140"/>
      <c r="AH635" s="140"/>
      <c r="AI635" s="140"/>
      <c r="AJ635" s="140"/>
      <c r="AK635" s="140"/>
      <c r="AL635" s="140"/>
      <c r="AM635" s="140"/>
      <c r="AN635" s="140"/>
      <c r="AO635" s="140"/>
      <c r="AP635" s="140"/>
      <c r="AQ635" s="140"/>
      <c r="AR635" s="140"/>
      <c r="AS635" s="140"/>
      <c r="AT635" s="140"/>
      <c r="AU635" s="140"/>
      <c r="AV635" s="140"/>
      <c r="AW635" s="140"/>
      <c r="AX635" s="140"/>
      <c r="AY635" s="140"/>
      <c r="AZ635" s="140"/>
      <c r="BA635" s="140"/>
      <c r="BB635" s="140"/>
      <c r="BC635" s="140"/>
      <c r="BD635" s="140"/>
      <c r="BE635" s="140"/>
    </row>
    <row r="636" s="119" customFormat="1" ht="36" customHeight="1" outlineLevel="2" spans="1:57">
      <c r="A636" s="162">
        <f>1+N(A635)</f>
        <v>1</v>
      </c>
      <c r="B636" s="164" t="s">
        <v>334</v>
      </c>
      <c r="C636" s="15" t="s">
        <v>335</v>
      </c>
      <c r="D636" s="142" t="s">
        <v>63</v>
      </c>
      <c r="E636" s="143">
        <v>64.671</v>
      </c>
      <c r="F636" s="143">
        <f>$F$616</f>
        <v>76.5</v>
      </c>
      <c r="G636" s="143">
        <f>$G$616</f>
        <v>92</v>
      </c>
      <c r="H636" s="143">
        <f>$H$616</f>
        <v>57</v>
      </c>
      <c r="I636" s="17">
        <f>(F636+G636+H636)*$I$3</f>
        <v>22.55</v>
      </c>
      <c r="J636" s="18">
        <f>ROUND(SUM(F636:I636),2)</f>
        <v>248.05</v>
      </c>
      <c r="K636" s="19">
        <f>ROUND(J636*E636,2)</f>
        <v>16041.64</v>
      </c>
      <c r="L636" s="178"/>
      <c r="M636" s="139">
        <v>1</v>
      </c>
      <c r="N636" s="139">
        <v>14583.31</v>
      </c>
      <c r="O636" s="139"/>
      <c r="P636" s="37">
        <f>Q636+Q636*R636+S636+T636+U636</f>
        <v>225.5</v>
      </c>
      <c r="Q636" s="99">
        <f>$Q$616</f>
        <v>80</v>
      </c>
      <c r="R636" s="163">
        <f>$R$616</f>
        <v>0.15</v>
      </c>
      <c r="S636" s="99">
        <f>$S$616</f>
        <v>76.5</v>
      </c>
      <c r="T636" s="99">
        <f>$T$616</f>
        <v>56.5</v>
      </c>
      <c r="U636" s="99">
        <f>$U$616</f>
        <v>0.5</v>
      </c>
      <c r="V636" s="37">
        <f>P636*E636</f>
        <v>14583.3105</v>
      </c>
      <c r="W636" s="139"/>
      <c r="X636" s="139"/>
      <c r="Y636" s="139"/>
      <c r="Z636" s="139"/>
      <c r="AA636" s="139"/>
      <c r="AB636" s="139"/>
      <c r="AC636" s="139"/>
      <c r="AD636" s="139"/>
      <c r="AE636" s="139"/>
      <c r="AF636" s="140"/>
      <c r="AG636" s="140"/>
      <c r="AH636" s="140"/>
      <c r="AI636" s="140"/>
      <c r="AJ636" s="140"/>
      <c r="AK636" s="140"/>
      <c r="AL636" s="140"/>
      <c r="AM636" s="140"/>
      <c r="AN636" s="140"/>
      <c r="AO636" s="140"/>
      <c r="AP636" s="140"/>
      <c r="AQ636" s="140"/>
      <c r="AR636" s="140"/>
      <c r="AS636" s="140"/>
      <c r="AT636" s="140"/>
      <c r="AU636" s="140"/>
      <c r="AV636" s="140"/>
      <c r="AW636" s="140"/>
      <c r="AX636" s="140"/>
      <c r="AY636" s="140"/>
      <c r="AZ636" s="140"/>
      <c r="BA636" s="140"/>
      <c r="BB636" s="140"/>
      <c r="BC636" s="140"/>
      <c r="BD636" s="140"/>
      <c r="BE636" s="140"/>
    </row>
    <row r="637" s="119" customFormat="1" ht="60" customHeight="1" outlineLevel="2" spans="1:57">
      <c r="A637" s="162">
        <f>1+N(A636)</f>
        <v>2</v>
      </c>
      <c r="B637" s="14" t="s">
        <v>82</v>
      </c>
      <c r="C637" s="15" t="s">
        <v>83</v>
      </c>
      <c r="D637" s="142" t="s">
        <v>63</v>
      </c>
      <c r="E637" s="143">
        <f>0.522*3.4*2+0.71*0.95</f>
        <v>4.2241</v>
      </c>
      <c r="F637" s="143">
        <f>$F$17</f>
        <v>110</v>
      </c>
      <c r="G637" s="143">
        <f>$G$17</f>
        <v>454.5</v>
      </c>
      <c r="H637" s="143">
        <f>$H$17</f>
        <v>55.2</v>
      </c>
      <c r="I637" s="17">
        <f>(F637+G637+H637)*$I$3</f>
        <v>61.97</v>
      </c>
      <c r="J637" s="18">
        <f>ROUND(SUM(F637:I637),2)</f>
        <v>681.67</v>
      </c>
      <c r="K637" s="19">
        <f>ROUND(J637*E637,2)</f>
        <v>2879.44</v>
      </c>
      <c r="L637" s="178"/>
      <c r="M637" s="139">
        <v>1</v>
      </c>
      <c r="N637" s="139">
        <v>2617.67</v>
      </c>
      <c r="O637" s="139"/>
      <c r="P637" s="37">
        <f>Q637+Q637*R637+S637+T637+U637</f>
        <v>619.7</v>
      </c>
      <c r="Q637" s="99">
        <f>$Q$17</f>
        <v>450</v>
      </c>
      <c r="R637" s="163">
        <f>$R$17</f>
        <v>0.01</v>
      </c>
      <c r="S637" s="99">
        <f>$S$17</f>
        <v>110</v>
      </c>
      <c r="T637" s="99">
        <f>$T$17</f>
        <v>54</v>
      </c>
      <c r="U637" s="99">
        <f>$U$17</f>
        <v>1.2</v>
      </c>
      <c r="V637" s="37">
        <f>P637*E637</f>
        <v>2617.67477</v>
      </c>
      <c r="W637" s="139"/>
      <c r="X637" s="139"/>
      <c r="Y637" s="139"/>
      <c r="Z637" s="139"/>
      <c r="AA637" s="139"/>
      <c r="AB637" s="139"/>
      <c r="AC637" s="139"/>
      <c r="AD637" s="139"/>
      <c r="AE637" s="139"/>
      <c r="AF637" s="140"/>
      <c r="AG637" s="140"/>
      <c r="AH637" s="140"/>
      <c r="AI637" s="140"/>
      <c r="AJ637" s="140"/>
      <c r="AK637" s="140"/>
      <c r="AL637" s="140"/>
      <c r="AM637" s="140"/>
      <c r="AN637" s="140"/>
      <c r="AO637" s="140"/>
      <c r="AP637" s="140"/>
      <c r="AQ637" s="140"/>
      <c r="AR637" s="140"/>
      <c r="AS637" s="140"/>
      <c r="AT637" s="140"/>
      <c r="AU637" s="140"/>
      <c r="AV637" s="140"/>
      <c r="AW637" s="140"/>
      <c r="AX637" s="140"/>
      <c r="AY637" s="140"/>
      <c r="AZ637" s="140"/>
      <c r="BA637" s="140"/>
      <c r="BB637" s="140"/>
      <c r="BC637" s="140"/>
      <c r="BD637" s="140"/>
      <c r="BE637" s="140"/>
    </row>
    <row r="638" s="119" customFormat="1" ht="60" customHeight="1" outlineLevel="2" spans="1:57">
      <c r="A638" s="162">
        <f>1+N(A637)</f>
        <v>3</v>
      </c>
      <c r="B638" s="164" t="s">
        <v>91</v>
      </c>
      <c r="C638" s="15" t="s">
        <v>92</v>
      </c>
      <c r="D638" s="142" t="s">
        <v>70</v>
      </c>
      <c r="E638" s="143">
        <v>21.449</v>
      </c>
      <c r="F638" s="143">
        <f>$F$22</f>
        <v>12</v>
      </c>
      <c r="G638" s="143">
        <f>$G$22</f>
        <v>25.75</v>
      </c>
      <c r="H638" s="143">
        <f>$H$22</f>
        <v>3.8</v>
      </c>
      <c r="I638" s="17">
        <f>(F638+G638+H638)*$I$3</f>
        <v>4.155</v>
      </c>
      <c r="J638" s="18">
        <f>ROUND(SUM(F638:I638),2)</f>
        <v>45.71</v>
      </c>
      <c r="K638" s="19">
        <f>ROUND(J638*E638,2)</f>
        <v>980.43</v>
      </c>
      <c r="L638" s="178"/>
      <c r="M638" s="139">
        <v>1</v>
      </c>
      <c r="N638" s="139">
        <v>891.21</v>
      </c>
      <c r="O638" s="139"/>
      <c r="P638" s="37">
        <f>Q638+Q638*R638+S638+T638+U638</f>
        <v>41.55</v>
      </c>
      <c r="Q638" s="99">
        <f>$Q$22</f>
        <v>25</v>
      </c>
      <c r="R638" s="163">
        <f>$R$22</f>
        <v>0.03</v>
      </c>
      <c r="S638" s="99">
        <f>$S$22</f>
        <v>12</v>
      </c>
      <c r="T638" s="99">
        <f>$T$22</f>
        <v>3.5</v>
      </c>
      <c r="U638" s="99">
        <f>$U$22</f>
        <v>0.3</v>
      </c>
      <c r="V638" s="37">
        <f>P638*E638</f>
        <v>891.20595</v>
      </c>
      <c r="W638" s="139"/>
      <c r="X638" s="139"/>
      <c r="Y638" s="139"/>
      <c r="Z638" s="139"/>
      <c r="AA638" s="139"/>
      <c r="AB638" s="139"/>
      <c r="AC638" s="139"/>
      <c r="AD638" s="139"/>
      <c r="AE638" s="139"/>
      <c r="AF638" s="140"/>
      <c r="AG638" s="140"/>
      <c r="AH638" s="140"/>
      <c r="AI638" s="140"/>
      <c r="AJ638" s="140"/>
      <c r="AK638" s="140"/>
      <c r="AL638" s="140"/>
      <c r="AM638" s="140"/>
      <c r="AN638" s="140"/>
      <c r="AO638" s="140"/>
      <c r="AP638" s="140"/>
      <c r="AQ638" s="140"/>
      <c r="AR638" s="140"/>
      <c r="AS638" s="140"/>
      <c r="AT638" s="140"/>
      <c r="AU638" s="140"/>
      <c r="AV638" s="140"/>
      <c r="AW638" s="140"/>
      <c r="AX638" s="140"/>
      <c r="AY638" s="140"/>
      <c r="AZ638" s="140"/>
      <c r="BA638" s="140"/>
      <c r="BB638" s="140"/>
      <c r="BC638" s="140"/>
      <c r="BD638" s="140"/>
      <c r="BE638" s="140"/>
    </row>
    <row r="639" s="119" customFormat="1" ht="60" customHeight="1" outlineLevel="2" spans="1:57">
      <c r="A639" s="162">
        <f>1+N(A638)</f>
        <v>4</v>
      </c>
      <c r="B639" s="14" t="s">
        <v>239</v>
      </c>
      <c r="C639" s="15" t="s">
        <v>240</v>
      </c>
      <c r="D639" s="165" t="s">
        <v>63</v>
      </c>
      <c r="E639" s="143">
        <f>(7.46+8.36)*0.095</f>
        <v>1.5029</v>
      </c>
      <c r="F639" s="143">
        <f>$F$356</f>
        <v>110</v>
      </c>
      <c r="G639" s="143">
        <f>$G$356</f>
        <v>454.5</v>
      </c>
      <c r="H639" s="143">
        <f>$H$356</f>
        <v>55.2</v>
      </c>
      <c r="I639" s="17">
        <f>(F639+G639+H639)*$I$3</f>
        <v>61.97</v>
      </c>
      <c r="J639" s="18">
        <f>ROUND(SUM(F639:I639),2)</f>
        <v>681.67</v>
      </c>
      <c r="K639" s="19">
        <f>ROUND(J639*E639,2)</f>
        <v>1024.48</v>
      </c>
      <c r="L639" s="178"/>
      <c r="M639" s="139">
        <v>1</v>
      </c>
      <c r="N639" s="139">
        <v>931.35</v>
      </c>
      <c r="O639" s="139"/>
      <c r="P639" s="37">
        <f>Q639+Q639*R639+S639+T639+U639</f>
        <v>619.7</v>
      </c>
      <c r="Q639" s="99">
        <f>$Q$356</f>
        <v>450</v>
      </c>
      <c r="R639" s="163">
        <f>$R$356</f>
        <v>0.01</v>
      </c>
      <c r="S639" s="99">
        <f>$S$356</f>
        <v>110</v>
      </c>
      <c r="T639" s="99">
        <f>$T$356</f>
        <v>54</v>
      </c>
      <c r="U639" s="99">
        <f>$U$356</f>
        <v>1.2</v>
      </c>
      <c r="V639" s="37">
        <f>P639*E639</f>
        <v>931.34713</v>
      </c>
      <c r="W639" s="139"/>
      <c r="X639" s="139"/>
      <c r="Y639" s="139"/>
      <c r="Z639" s="139"/>
      <c r="AA639" s="139"/>
      <c r="AB639" s="139"/>
      <c r="AC639" s="139"/>
      <c r="AD639" s="139"/>
      <c r="AE639" s="139"/>
      <c r="AF639" s="140"/>
      <c r="AG639" s="140"/>
      <c r="AH639" s="140"/>
      <c r="AI639" s="140"/>
      <c r="AJ639" s="140"/>
      <c r="AK639" s="140"/>
      <c r="AL639" s="140"/>
      <c r="AM639" s="140"/>
      <c r="AN639" s="140"/>
      <c r="AO639" s="140"/>
      <c r="AP639" s="140"/>
      <c r="AQ639" s="140"/>
      <c r="AR639" s="140"/>
      <c r="AS639" s="140"/>
      <c r="AT639" s="140"/>
      <c r="AU639" s="140"/>
      <c r="AV639" s="140"/>
      <c r="AW639" s="140"/>
      <c r="AX639" s="140"/>
      <c r="AY639" s="140"/>
      <c r="AZ639" s="140"/>
      <c r="BA639" s="140"/>
      <c r="BB639" s="140"/>
      <c r="BC639" s="140"/>
      <c r="BD639" s="140"/>
      <c r="BE639" s="140"/>
    </row>
    <row r="640" s="119" customFormat="1" ht="24" customHeight="1" outlineLevel="1" spans="1:57">
      <c r="A640" s="141"/>
      <c r="B640" s="14" t="s">
        <v>101</v>
      </c>
      <c r="C640" s="15"/>
      <c r="D640" s="142"/>
      <c r="E640" s="143"/>
      <c r="F640" s="143"/>
      <c r="G640" s="143"/>
      <c r="H640" s="143"/>
      <c r="I640" s="143"/>
      <c r="J640" s="143"/>
      <c r="K640" s="144"/>
      <c r="L640" s="178"/>
      <c r="M640" s="139"/>
      <c r="N640" s="139"/>
      <c r="O640" s="139"/>
      <c r="P640" s="137"/>
      <c r="Q640" s="137"/>
      <c r="R640" s="138"/>
      <c r="S640" s="137"/>
      <c r="T640" s="137"/>
      <c r="U640" s="137"/>
      <c r="V640" s="137"/>
      <c r="W640" s="139"/>
      <c r="X640" s="139"/>
      <c r="Y640" s="139"/>
      <c r="Z640" s="139"/>
      <c r="AA640" s="139"/>
      <c r="AB640" s="139"/>
      <c r="AC640" s="139"/>
      <c r="AD640" s="139"/>
      <c r="AE640" s="139"/>
      <c r="AF640" s="140"/>
      <c r="AG640" s="140"/>
      <c r="AH640" s="140"/>
      <c r="AI640" s="140"/>
      <c r="AJ640" s="140"/>
      <c r="AK640" s="140"/>
      <c r="AL640" s="140"/>
      <c r="AM640" s="140"/>
      <c r="AN640" s="140"/>
      <c r="AO640" s="140"/>
      <c r="AP640" s="140"/>
      <c r="AQ640" s="140"/>
      <c r="AR640" s="140"/>
      <c r="AS640" s="140"/>
      <c r="AT640" s="140"/>
      <c r="AU640" s="140"/>
      <c r="AV640" s="140"/>
      <c r="AW640" s="140"/>
      <c r="AX640" s="140"/>
      <c r="AY640" s="140"/>
      <c r="AZ640" s="140"/>
      <c r="BA640" s="140"/>
      <c r="BB640" s="140"/>
      <c r="BC640" s="140"/>
      <c r="BD640" s="140"/>
      <c r="BE640" s="140"/>
    </row>
    <row r="641" s="119" customFormat="1" ht="96" customHeight="1" outlineLevel="2" spans="1:57">
      <c r="A641" s="162">
        <f t="shared" ref="A641:A646" si="177">1+N(A640)</f>
        <v>1</v>
      </c>
      <c r="B641" s="14" t="s">
        <v>102</v>
      </c>
      <c r="C641" s="167" t="s">
        <v>103</v>
      </c>
      <c r="D641" s="142" t="s">
        <v>63</v>
      </c>
      <c r="E641" s="143">
        <v>20.76</v>
      </c>
      <c r="F641" s="143">
        <f>$F$28</f>
        <v>70</v>
      </c>
      <c r="G641" s="143">
        <f>$G$28</f>
        <v>0</v>
      </c>
      <c r="H641" s="143">
        <f>$H$28</f>
        <v>66.711</v>
      </c>
      <c r="I641" s="17">
        <f t="shared" ref="I641:I646" si="178">(F641+G641+H641)*$I$3</f>
        <v>13.6711</v>
      </c>
      <c r="J641" s="18">
        <f t="shared" ref="J641:J646" si="179">ROUND(SUM(F641:I641),2)</f>
        <v>150.38</v>
      </c>
      <c r="K641" s="19">
        <f t="shared" ref="K641:K646" si="180">ROUND(J641*E641,2)</f>
        <v>3121.89</v>
      </c>
      <c r="L641" s="178"/>
      <c r="M641" s="139">
        <v>1</v>
      </c>
      <c r="N641" s="139">
        <v>2838.1</v>
      </c>
      <c r="O641" s="139"/>
      <c r="P641" s="37">
        <f t="shared" ref="P641:P646" si="181">Q641+Q641*R641+S641+T641+U641</f>
        <v>136.711</v>
      </c>
      <c r="Q641" s="99">
        <f>$Q$28</f>
        <v>0</v>
      </c>
      <c r="R641" s="163">
        <f>$R$28</f>
        <v>0.01</v>
      </c>
      <c r="S641" s="99">
        <f>$S$28</f>
        <v>70</v>
      </c>
      <c r="T641" s="99">
        <f>$T$28</f>
        <v>64.711</v>
      </c>
      <c r="U641" s="99">
        <f>$U$28</f>
        <v>2</v>
      </c>
      <c r="V641" s="37">
        <f t="shared" ref="V641:V646" si="182">P641*E641</f>
        <v>2838.12036</v>
      </c>
      <c r="W641" s="139"/>
      <c r="X641" s="139"/>
      <c r="Y641" s="139"/>
      <c r="Z641" s="139"/>
      <c r="AA641" s="139"/>
      <c r="AB641" s="139"/>
      <c r="AC641" s="139"/>
      <c r="AD641" s="139"/>
      <c r="AE641" s="139"/>
      <c r="AF641" s="140"/>
      <c r="AG641" s="140"/>
      <c r="AH641" s="140"/>
      <c r="AI641" s="140"/>
      <c r="AJ641" s="140"/>
      <c r="AK641" s="140"/>
      <c r="AL641" s="140"/>
      <c r="AM641" s="140"/>
      <c r="AN641" s="140"/>
      <c r="AO641" s="140"/>
      <c r="AP641" s="140"/>
      <c r="AQ641" s="140"/>
      <c r="AR641" s="140"/>
      <c r="AS641" s="140"/>
      <c r="AT641" s="140"/>
      <c r="AU641" s="140"/>
      <c r="AV641" s="140"/>
      <c r="AW641" s="140"/>
      <c r="AX641" s="140"/>
      <c r="AY641" s="140"/>
      <c r="AZ641" s="140"/>
      <c r="BA641" s="140"/>
      <c r="BB641" s="140"/>
      <c r="BC641" s="140"/>
      <c r="BD641" s="140"/>
      <c r="BE641" s="140"/>
    </row>
    <row r="642" s="119" customFormat="1" ht="72" customHeight="1" outlineLevel="2" spans="1:57">
      <c r="A642" s="162">
        <f t="shared" si="177"/>
        <v>2</v>
      </c>
      <c r="B642" s="14" t="s">
        <v>104</v>
      </c>
      <c r="C642" s="15" t="s">
        <v>105</v>
      </c>
      <c r="D642" s="142" t="s">
        <v>70</v>
      </c>
      <c r="E642" s="143">
        <v>12.65</v>
      </c>
      <c r="F642" s="143">
        <f>$F$29</f>
        <v>50</v>
      </c>
      <c r="G642" s="143">
        <f>$G$29</f>
        <v>0</v>
      </c>
      <c r="H642" s="143">
        <f>$H$29</f>
        <v>22.0941</v>
      </c>
      <c r="I642" s="17">
        <f t="shared" si="178"/>
        <v>7.20941</v>
      </c>
      <c r="J642" s="18">
        <f t="shared" si="179"/>
        <v>79.3</v>
      </c>
      <c r="K642" s="19">
        <f t="shared" si="180"/>
        <v>1003.15</v>
      </c>
      <c r="L642" s="178"/>
      <c r="M642" s="139">
        <v>1</v>
      </c>
      <c r="N642" s="139">
        <v>911.94</v>
      </c>
      <c r="O642" s="139"/>
      <c r="P642" s="37">
        <f t="shared" si="181"/>
        <v>72.0941</v>
      </c>
      <c r="Q642" s="99">
        <f>$Q$29</f>
        <v>0</v>
      </c>
      <c r="R642" s="163">
        <f>$R$29</f>
        <v>0.01</v>
      </c>
      <c r="S642" s="99">
        <f>$S$29</f>
        <v>50</v>
      </c>
      <c r="T642" s="99">
        <f>$T$29</f>
        <v>22.0941</v>
      </c>
      <c r="U642" s="99">
        <f>$U$29</f>
        <v>0</v>
      </c>
      <c r="V642" s="37">
        <f t="shared" si="182"/>
        <v>911.990365</v>
      </c>
      <c r="W642" s="139"/>
      <c r="X642" s="139"/>
      <c r="Y642" s="139"/>
      <c r="Z642" s="139"/>
      <c r="AA642" s="139"/>
      <c r="AB642" s="139"/>
      <c r="AC642" s="139"/>
      <c r="AD642" s="139"/>
      <c r="AE642" s="139"/>
      <c r="AF642" s="140"/>
      <c r="AG642" s="140"/>
      <c r="AH642" s="140"/>
      <c r="AI642" s="140"/>
      <c r="AJ642" s="140"/>
      <c r="AK642" s="140"/>
      <c r="AL642" s="140"/>
      <c r="AM642" s="140"/>
      <c r="AN642" s="140"/>
      <c r="AO642" s="140"/>
      <c r="AP642" s="140"/>
      <c r="AQ642" s="140"/>
      <c r="AR642" s="140"/>
      <c r="AS642" s="140"/>
      <c r="AT642" s="140"/>
      <c r="AU642" s="140"/>
      <c r="AV642" s="140"/>
      <c r="AW642" s="140"/>
      <c r="AX642" s="140"/>
      <c r="AY642" s="140"/>
      <c r="AZ642" s="140"/>
      <c r="BA642" s="140"/>
      <c r="BB642" s="140"/>
      <c r="BC642" s="140"/>
      <c r="BD642" s="140"/>
      <c r="BE642" s="140"/>
    </row>
    <row r="643" s="119" customFormat="1" ht="72" customHeight="1" outlineLevel="2" spans="1:57">
      <c r="A643" s="162">
        <f t="shared" si="177"/>
        <v>3</v>
      </c>
      <c r="B643" s="14" t="s">
        <v>106</v>
      </c>
      <c r="C643" s="15" t="s">
        <v>107</v>
      </c>
      <c r="D643" s="142" t="s">
        <v>70</v>
      </c>
      <c r="E643" s="143">
        <v>12.65</v>
      </c>
      <c r="F643" s="143">
        <f>$F$30</f>
        <v>18</v>
      </c>
      <c r="G643" s="143">
        <f>$G$30</f>
        <v>163.255</v>
      </c>
      <c r="H643" s="143">
        <f>$H$30</f>
        <v>3.8</v>
      </c>
      <c r="I643" s="17">
        <f t="shared" si="178"/>
        <v>18.5055</v>
      </c>
      <c r="J643" s="18">
        <f t="shared" si="179"/>
        <v>203.56</v>
      </c>
      <c r="K643" s="19">
        <f t="shared" si="180"/>
        <v>2575.03</v>
      </c>
      <c r="L643" s="178"/>
      <c r="M643" s="139">
        <v>1</v>
      </c>
      <c r="N643" s="139">
        <v>2341.01</v>
      </c>
      <c r="O643" s="139"/>
      <c r="P643" s="37">
        <f t="shared" si="181"/>
        <v>185.055</v>
      </c>
      <c r="Q643" s="99">
        <f>$Q$30</f>
        <v>158.5</v>
      </c>
      <c r="R643" s="163">
        <f>$R$30</f>
        <v>0.03</v>
      </c>
      <c r="S643" s="99">
        <f>$S$30</f>
        <v>18</v>
      </c>
      <c r="T643" s="99">
        <f>$T$30</f>
        <v>3.5</v>
      </c>
      <c r="U643" s="99">
        <f>$U$30</f>
        <v>0.3</v>
      </c>
      <c r="V643" s="37">
        <f t="shared" si="182"/>
        <v>2340.94575</v>
      </c>
      <c r="W643" s="139"/>
      <c r="X643" s="139"/>
      <c r="Y643" s="139"/>
      <c r="Z643" s="139"/>
      <c r="AA643" s="139"/>
      <c r="AB643" s="139"/>
      <c r="AC643" s="139"/>
      <c r="AD643" s="139"/>
      <c r="AE643" s="139"/>
      <c r="AF643" s="140"/>
      <c r="AG643" s="140"/>
      <c r="AH643" s="140"/>
      <c r="AI643" s="140"/>
      <c r="AJ643" s="140"/>
      <c r="AK643" s="140"/>
      <c r="AL643" s="140"/>
      <c r="AM643" s="140"/>
      <c r="AN643" s="140"/>
      <c r="AO643" s="140"/>
      <c r="AP643" s="140"/>
      <c r="AQ643" s="140"/>
      <c r="AR643" s="140"/>
      <c r="AS643" s="140"/>
      <c r="AT643" s="140"/>
      <c r="AU643" s="140"/>
      <c r="AV643" s="140"/>
      <c r="AW643" s="140"/>
      <c r="AX643" s="140"/>
      <c r="AY643" s="140"/>
      <c r="AZ643" s="140"/>
      <c r="BA643" s="140"/>
      <c r="BB643" s="140"/>
      <c r="BC643" s="140"/>
      <c r="BD643" s="140"/>
      <c r="BE643" s="140"/>
    </row>
    <row r="644" s="119" customFormat="1" ht="72" customHeight="1" outlineLevel="2" spans="1:57">
      <c r="A644" s="162">
        <f t="shared" si="177"/>
        <v>4</v>
      </c>
      <c r="B644" s="14" t="s">
        <v>268</v>
      </c>
      <c r="C644" s="15" t="s">
        <v>269</v>
      </c>
      <c r="D644" s="142" t="s">
        <v>70</v>
      </c>
      <c r="E644" s="143">
        <v>4.5</v>
      </c>
      <c r="F644" s="143">
        <f>$F$472</f>
        <v>55</v>
      </c>
      <c r="G644" s="143">
        <f>$G$472</f>
        <v>0</v>
      </c>
      <c r="H644" s="143">
        <f>$H$472</f>
        <v>29.6688</v>
      </c>
      <c r="I644" s="17">
        <f t="shared" si="178"/>
        <v>8.46688</v>
      </c>
      <c r="J644" s="18">
        <f t="shared" si="179"/>
        <v>93.14</v>
      </c>
      <c r="K644" s="19">
        <f t="shared" si="180"/>
        <v>419.13</v>
      </c>
      <c r="L644" s="178"/>
      <c r="M644" s="139">
        <v>1</v>
      </c>
      <c r="N644" s="139">
        <v>381.02</v>
      </c>
      <c r="O644" s="139"/>
      <c r="P644" s="37">
        <f t="shared" si="181"/>
        <v>84.6688</v>
      </c>
      <c r="Q644" s="99">
        <f>$Q$472</f>
        <v>0</v>
      </c>
      <c r="R644" s="163">
        <f>$R$472</f>
        <v>0.01</v>
      </c>
      <c r="S644" s="99">
        <f>$S$472</f>
        <v>55</v>
      </c>
      <c r="T644" s="99">
        <f>$T$472</f>
        <v>29.6688</v>
      </c>
      <c r="U644" s="99">
        <f>$U$472</f>
        <v>0</v>
      </c>
      <c r="V644" s="37">
        <f t="shared" si="182"/>
        <v>381.0096</v>
      </c>
      <c r="W644" s="139"/>
      <c r="X644" s="139"/>
      <c r="Y644" s="139"/>
      <c r="Z644" s="139"/>
      <c r="AA644" s="139"/>
      <c r="AB644" s="139"/>
      <c r="AC644" s="139"/>
      <c r="AD644" s="139"/>
      <c r="AE644" s="139"/>
      <c r="AF644" s="140"/>
      <c r="AG644" s="140"/>
      <c r="AH644" s="140"/>
      <c r="AI644" s="140"/>
      <c r="AJ644" s="140"/>
      <c r="AK644" s="140"/>
      <c r="AL644" s="140"/>
      <c r="AM644" s="140"/>
      <c r="AN644" s="140"/>
      <c r="AO644" s="140"/>
      <c r="AP644" s="140"/>
      <c r="AQ644" s="140"/>
      <c r="AR644" s="140"/>
      <c r="AS644" s="140"/>
      <c r="AT644" s="140"/>
      <c r="AU644" s="140"/>
      <c r="AV644" s="140"/>
      <c r="AW644" s="140"/>
      <c r="AX644" s="140"/>
      <c r="AY644" s="140"/>
      <c r="AZ644" s="140"/>
      <c r="BA644" s="140"/>
      <c r="BB644" s="140"/>
      <c r="BC644" s="140"/>
      <c r="BD644" s="140"/>
      <c r="BE644" s="140"/>
    </row>
    <row r="645" s="119" customFormat="1" ht="72" customHeight="1" outlineLevel="2" spans="1:57">
      <c r="A645" s="162">
        <f t="shared" si="177"/>
        <v>5</v>
      </c>
      <c r="B645" s="14" t="s">
        <v>108</v>
      </c>
      <c r="C645" s="15" t="s">
        <v>109</v>
      </c>
      <c r="D645" s="142" t="s">
        <v>70</v>
      </c>
      <c r="E645" s="143">
        <f>1.2*2*1</f>
        <v>2.4</v>
      </c>
      <c r="F645" s="143">
        <f>$F$31</f>
        <v>30</v>
      </c>
      <c r="G645" s="143">
        <f>$G$31</f>
        <v>65.6625</v>
      </c>
      <c r="H645" s="143">
        <f>$H$31</f>
        <v>2.7</v>
      </c>
      <c r="I645" s="17">
        <f t="shared" si="178"/>
        <v>9.83625</v>
      </c>
      <c r="J645" s="18">
        <f t="shared" si="179"/>
        <v>108.2</v>
      </c>
      <c r="K645" s="19">
        <f t="shared" si="180"/>
        <v>259.68</v>
      </c>
      <c r="L645" s="178"/>
      <c r="M645" s="139">
        <v>1</v>
      </c>
      <c r="N645" s="139">
        <v>236.06</v>
      </c>
      <c r="O645" s="139"/>
      <c r="P645" s="37">
        <f t="shared" si="181"/>
        <v>98.3625</v>
      </c>
      <c r="Q645" s="99">
        <f>$Q$31</f>
        <v>63.75</v>
      </c>
      <c r="R645" s="163">
        <f>$R$31</f>
        <v>0.03</v>
      </c>
      <c r="S645" s="99">
        <f>$S$31</f>
        <v>30</v>
      </c>
      <c r="T645" s="99">
        <f>$T$31</f>
        <v>2.5</v>
      </c>
      <c r="U645" s="99">
        <f>$U$31</f>
        <v>0.2</v>
      </c>
      <c r="V645" s="37">
        <f t="shared" si="182"/>
        <v>236.07</v>
      </c>
      <c r="W645" s="139"/>
      <c r="X645" s="139"/>
      <c r="Y645" s="139"/>
      <c r="Z645" s="139"/>
      <c r="AA645" s="139"/>
      <c r="AB645" s="139"/>
      <c r="AC645" s="139"/>
      <c r="AD645" s="139"/>
      <c r="AE645" s="139"/>
      <c r="AF645" s="140"/>
      <c r="AG645" s="140"/>
      <c r="AH645" s="140"/>
      <c r="AI645" s="140"/>
      <c r="AJ645" s="140"/>
      <c r="AK645" s="140"/>
      <c r="AL645" s="140"/>
      <c r="AM645" s="140"/>
      <c r="AN645" s="140"/>
      <c r="AO645" s="140"/>
      <c r="AP645" s="140"/>
      <c r="AQ645" s="140"/>
      <c r="AR645" s="140"/>
      <c r="AS645" s="140"/>
      <c r="AT645" s="140"/>
      <c r="AU645" s="140"/>
      <c r="AV645" s="140"/>
      <c r="AW645" s="140"/>
      <c r="AX645" s="140"/>
      <c r="AY645" s="140"/>
      <c r="AZ645" s="140"/>
      <c r="BA645" s="140"/>
      <c r="BB645" s="140"/>
      <c r="BC645" s="140"/>
      <c r="BD645" s="140"/>
      <c r="BE645" s="140"/>
    </row>
    <row r="646" s="119" customFormat="1" ht="72" customHeight="1" outlineLevel="2" spans="1:57">
      <c r="A646" s="162">
        <f t="shared" si="177"/>
        <v>6</v>
      </c>
      <c r="B646" s="14" t="s">
        <v>110</v>
      </c>
      <c r="C646" s="15" t="s">
        <v>111</v>
      </c>
      <c r="D646" s="142" t="s">
        <v>63</v>
      </c>
      <c r="E646" s="143">
        <f>20.76+12.65*0.3+4.5*0.4</f>
        <v>26.355</v>
      </c>
      <c r="F646" s="143">
        <f>$F$32</f>
        <v>45</v>
      </c>
      <c r="G646" s="143">
        <f>$G$32</f>
        <v>85.5</v>
      </c>
      <c r="H646" s="143">
        <f>$H$32</f>
        <v>7.3</v>
      </c>
      <c r="I646" s="17">
        <f t="shared" si="178"/>
        <v>13.78</v>
      </c>
      <c r="J646" s="18">
        <f t="shared" si="179"/>
        <v>151.58</v>
      </c>
      <c r="K646" s="19">
        <f t="shared" si="180"/>
        <v>3994.89</v>
      </c>
      <c r="L646" s="178"/>
      <c r="M646" s="139">
        <v>1</v>
      </c>
      <c r="N646" s="139">
        <v>3631.72</v>
      </c>
      <c r="O646" s="139"/>
      <c r="P646" s="37">
        <f t="shared" si="181"/>
        <v>137.8</v>
      </c>
      <c r="Q646" s="99">
        <f>$Q$32</f>
        <v>85.5</v>
      </c>
      <c r="R646" s="163">
        <f>$R$32</f>
        <v>0</v>
      </c>
      <c r="S646" s="99">
        <f>$S$32</f>
        <v>45</v>
      </c>
      <c r="T646" s="99">
        <f>$T$32</f>
        <v>6.5</v>
      </c>
      <c r="U646" s="99">
        <f>$U$32</f>
        <v>0.8</v>
      </c>
      <c r="V646" s="37">
        <f t="shared" si="182"/>
        <v>3631.719</v>
      </c>
      <c r="W646" s="139"/>
      <c r="X646" s="139"/>
      <c r="Y646" s="139"/>
      <c r="Z646" s="139"/>
      <c r="AA646" s="139"/>
      <c r="AB646" s="139"/>
      <c r="AC646" s="139"/>
      <c r="AD646" s="139"/>
      <c r="AE646" s="139"/>
      <c r="AF646" s="140"/>
      <c r="AG646" s="140"/>
      <c r="AH646" s="140"/>
      <c r="AI646" s="140"/>
      <c r="AJ646" s="140"/>
      <c r="AK646" s="140"/>
      <c r="AL646" s="140"/>
      <c r="AM646" s="140"/>
      <c r="AN646" s="140"/>
      <c r="AO646" s="140"/>
      <c r="AP646" s="140"/>
      <c r="AQ646" s="140"/>
      <c r="AR646" s="140"/>
      <c r="AS646" s="140"/>
      <c r="AT646" s="140"/>
      <c r="AU646" s="140"/>
      <c r="AV646" s="140"/>
      <c r="AW646" s="140"/>
      <c r="AX646" s="140"/>
      <c r="AY646" s="140"/>
      <c r="AZ646" s="140"/>
      <c r="BA646" s="140"/>
      <c r="BB646" s="140"/>
      <c r="BC646" s="140"/>
      <c r="BD646" s="140"/>
      <c r="BE646" s="140"/>
    </row>
    <row r="647" s="119" customFormat="1" ht="24" customHeight="1" outlineLevel="1" spans="1:57">
      <c r="A647" s="141"/>
      <c r="B647" s="14" t="s">
        <v>112</v>
      </c>
      <c r="C647" s="15"/>
      <c r="D647" s="142"/>
      <c r="E647" s="143"/>
      <c r="F647" s="143"/>
      <c r="G647" s="143"/>
      <c r="H647" s="143"/>
      <c r="I647" s="143"/>
      <c r="J647" s="143"/>
      <c r="K647" s="144"/>
      <c r="L647" s="178"/>
      <c r="M647" s="139"/>
      <c r="N647" s="139"/>
      <c r="O647" s="139"/>
      <c r="P647" s="137"/>
      <c r="Q647" s="137"/>
      <c r="R647" s="138"/>
      <c r="S647" s="137"/>
      <c r="T647" s="137"/>
      <c r="U647" s="137"/>
      <c r="V647" s="137"/>
      <c r="W647" s="139"/>
      <c r="X647" s="139"/>
      <c r="Y647" s="139"/>
      <c r="Z647" s="139"/>
      <c r="AA647" s="139"/>
      <c r="AB647" s="139"/>
      <c r="AC647" s="139"/>
      <c r="AD647" s="139"/>
      <c r="AE647" s="139"/>
      <c r="AF647" s="140"/>
      <c r="AG647" s="140"/>
      <c r="AH647" s="140"/>
      <c r="AI647" s="140"/>
      <c r="AJ647" s="140"/>
      <c r="AK647" s="140"/>
      <c r="AL647" s="140"/>
      <c r="AM647" s="140"/>
      <c r="AN647" s="140"/>
      <c r="AO647" s="140"/>
      <c r="AP647" s="140"/>
      <c r="AQ647" s="140"/>
      <c r="AR647" s="140"/>
      <c r="AS647" s="140"/>
      <c r="AT647" s="140"/>
      <c r="AU647" s="140"/>
      <c r="AV647" s="140"/>
      <c r="AW647" s="140"/>
      <c r="AX647" s="140"/>
      <c r="AY647" s="140"/>
      <c r="AZ647" s="140"/>
      <c r="BA647" s="140"/>
      <c r="BB647" s="140"/>
      <c r="BC647" s="140"/>
      <c r="BD647" s="140"/>
      <c r="BE647" s="140"/>
    </row>
    <row r="648" s="119" customFormat="1" ht="72" customHeight="1" outlineLevel="2" spans="1:57">
      <c r="A648" s="145">
        <f>1+N(A647)</f>
        <v>1</v>
      </c>
      <c r="B648" s="146" t="s">
        <v>338</v>
      </c>
      <c r="C648" s="147" t="s">
        <v>339</v>
      </c>
      <c r="D648" s="148" t="s">
        <v>63</v>
      </c>
      <c r="E648" s="149">
        <f>0.926*3.2</f>
        <v>2.9632</v>
      </c>
      <c r="F648" s="149">
        <f>S648*$S$1</f>
        <v>145</v>
      </c>
      <c r="G648" s="149">
        <f>Q648*(1+R648)*$Q$1</f>
        <v>1250</v>
      </c>
      <c r="H648" s="149">
        <f>(T648+U648)*$T$1</f>
        <v>31.5</v>
      </c>
      <c r="I648" s="150">
        <f>(F648+G648+H648)*$I$3</f>
        <v>142.65</v>
      </c>
      <c r="J648" s="151">
        <f>ROUND(SUM(F648:I648),2)</f>
        <v>1569.15</v>
      </c>
      <c r="K648" s="152">
        <f>ROUND(J648*E648,2)</f>
        <v>4649.71</v>
      </c>
      <c r="L648" s="178"/>
      <c r="M648" s="139">
        <v>1</v>
      </c>
      <c r="N648" s="139">
        <v>4227</v>
      </c>
      <c r="O648" s="139"/>
      <c r="P648" s="37">
        <f>Q648+Q648*R648+S648+T648+U648</f>
        <v>1426.5</v>
      </c>
      <c r="Q648" s="71">
        <v>1250</v>
      </c>
      <c r="R648" s="157">
        <v>0</v>
      </c>
      <c r="S648" s="71">
        <v>145</v>
      </c>
      <c r="T648" s="71">
        <v>30</v>
      </c>
      <c r="U648" s="71">
        <v>1.5</v>
      </c>
      <c r="V648" s="37">
        <f>P648*E648</f>
        <v>4227.0048</v>
      </c>
      <c r="W648" s="139"/>
      <c r="X648" s="139"/>
      <c r="Y648" s="139"/>
      <c r="Z648" s="139"/>
      <c r="AA648" s="139"/>
      <c r="AB648" s="139"/>
      <c r="AC648" s="139"/>
      <c r="AD648" s="139"/>
      <c r="AE648" s="139"/>
      <c r="AF648" s="140"/>
      <c r="AG648" s="140"/>
      <c r="AH648" s="140"/>
      <c r="AI648" s="140"/>
      <c r="AJ648" s="140"/>
      <c r="AK648" s="140"/>
      <c r="AL648" s="140"/>
      <c r="AM648" s="140"/>
      <c r="AN648" s="140"/>
      <c r="AO648" s="140"/>
      <c r="AP648" s="140"/>
      <c r="AQ648" s="140"/>
      <c r="AR648" s="140"/>
      <c r="AS648" s="140"/>
      <c r="AT648" s="140"/>
      <c r="AU648" s="140"/>
      <c r="AV648" s="140"/>
      <c r="AW648" s="140"/>
      <c r="AX648" s="140"/>
      <c r="AY648" s="140"/>
      <c r="AZ648" s="140"/>
      <c r="BA648" s="140"/>
      <c r="BB648" s="140"/>
      <c r="BC648" s="140"/>
      <c r="BD648" s="140"/>
      <c r="BE648" s="140"/>
    </row>
    <row r="649" s="119" customFormat="1" ht="24" customHeight="1" outlineLevel="1" spans="1:57">
      <c r="A649" s="132" t="s">
        <v>211</v>
      </c>
      <c r="B649" s="8" t="s">
        <v>340</v>
      </c>
      <c r="C649" s="180"/>
      <c r="D649" s="133"/>
      <c r="E649" s="134"/>
      <c r="F649" s="134"/>
      <c r="G649" s="134"/>
      <c r="H649" s="134"/>
      <c r="I649" s="134"/>
      <c r="J649" s="134"/>
      <c r="K649" s="11"/>
      <c r="L649" s="178"/>
      <c r="M649" s="139"/>
      <c r="N649" s="139"/>
      <c r="O649" s="139" t="str">
        <f>_xlfn.DISPIMG("ID_27697568629A418B8C94BA218061C315",1)</f>
        <v>=DISPIMG("ID_27697568629A418B8C94BA218061C315",1)</v>
      </c>
      <c r="P649" s="137"/>
      <c r="Q649" s="137"/>
      <c r="R649" s="138"/>
      <c r="S649" s="137"/>
      <c r="T649" s="137"/>
      <c r="U649" s="137"/>
      <c r="V649" s="137"/>
      <c r="W649" s="139"/>
      <c r="X649" s="139"/>
      <c r="Y649" s="139"/>
      <c r="Z649" s="139"/>
      <c r="AA649" s="139"/>
      <c r="AB649" s="139"/>
      <c r="AC649" s="139"/>
      <c r="AD649" s="139"/>
      <c r="AE649" s="139"/>
      <c r="AF649" s="140"/>
      <c r="AG649" s="140"/>
      <c r="AH649" s="140"/>
      <c r="AI649" s="140"/>
      <c r="AJ649" s="140"/>
      <c r="AK649" s="140"/>
      <c r="AL649" s="140"/>
      <c r="AM649" s="140"/>
      <c r="AN649" s="140"/>
      <c r="AO649" s="140"/>
      <c r="AP649" s="140"/>
      <c r="AQ649" s="140"/>
      <c r="AR649" s="140"/>
      <c r="AS649" s="140"/>
      <c r="AT649" s="140"/>
      <c r="AU649" s="140"/>
      <c r="AV649" s="140"/>
      <c r="AW649" s="140"/>
      <c r="AX649" s="140"/>
      <c r="AY649" s="140"/>
      <c r="AZ649" s="140"/>
      <c r="BA649" s="140"/>
      <c r="BB649" s="140"/>
      <c r="BC649" s="140"/>
      <c r="BD649" s="140"/>
      <c r="BE649" s="140"/>
    </row>
    <row r="650" s="119" customFormat="1" ht="24" customHeight="1" outlineLevel="1" spans="1:57">
      <c r="A650" s="141"/>
      <c r="B650" s="14" t="s">
        <v>60</v>
      </c>
      <c r="C650" s="15"/>
      <c r="D650" s="142"/>
      <c r="E650" s="143"/>
      <c r="F650" s="143"/>
      <c r="G650" s="143"/>
      <c r="H650" s="143"/>
      <c r="I650" s="143"/>
      <c r="J650" s="143"/>
      <c r="K650" s="144"/>
      <c r="L650" s="178"/>
      <c r="M650" s="139"/>
      <c r="N650" s="139"/>
      <c r="O650" s="139"/>
      <c r="P650" s="137"/>
      <c r="Q650" s="137"/>
      <c r="R650" s="138"/>
      <c r="S650" s="137"/>
      <c r="T650" s="137"/>
      <c r="U650" s="137"/>
      <c r="V650" s="137"/>
      <c r="W650" s="139"/>
      <c r="X650" s="139"/>
      <c r="Y650" s="139"/>
      <c r="Z650" s="139"/>
      <c r="AA650" s="139"/>
      <c r="AB650" s="139"/>
      <c r="AC650" s="139"/>
      <c r="AD650" s="139"/>
      <c r="AE650" s="139"/>
      <c r="AF650" s="140"/>
      <c r="AG650" s="140"/>
      <c r="AH650" s="140"/>
      <c r="AI650" s="140"/>
      <c r="AJ650" s="140"/>
      <c r="AK650" s="140"/>
      <c r="AL650" s="140"/>
      <c r="AM650" s="140"/>
      <c r="AN650" s="140"/>
      <c r="AO650" s="140"/>
      <c r="AP650" s="140"/>
      <c r="AQ650" s="140"/>
      <c r="AR650" s="140"/>
      <c r="AS650" s="140"/>
      <c r="AT650" s="140"/>
      <c r="AU650" s="140"/>
      <c r="AV650" s="140"/>
      <c r="AW650" s="140"/>
      <c r="AX650" s="140"/>
      <c r="AY650" s="140"/>
      <c r="AZ650" s="140"/>
      <c r="BA650" s="140"/>
      <c r="BB650" s="140"/>
      <c r="BC650" s="140"/>
      <c r="BD650" s="140"/>
      <c r="BE650" s="140"/>
    </row>
    <row r="651" s="119" customFormat="1" ht="96" customHeight="1" outlineLevel="2" spans="1:57">
      <c r="A651" s="162">
        <f>1+N(A650)</f>
        <v>1</v>
      </c>
      <c r="B651" s="14" t="s">
        <v>61</v>
      </c>
      <c r="C651" s="15" t="s">
        <v>62</v>
      </c>
      <c r="D651" s="142" t="s">
        <v>63</v>
      </c>
      <c r="E651" s="143">
        <v>5.45</v>
      </c>
      <c r="F651" s="143">
        <f>$F$7</f>
        <v>130</v>
      </c>
      <c r="G651" s="143">
        <f>$G$7</f>
        <v>628.3</v>
      </c>
      <c r="H651" s="17">
        <f>$H$7</f>
        <v>47.7</v>
      </c>
      <c r="I651" s="17">
        <f>(F651+G651+H651)*$I$3</f>
        <v>80.6</v>
      </c>
      <c r="J651" s="18">
        <f>ROUND(SUM(F651:I651),2)</f>
        <v>886.6</v>
      </c>
      <c r="K651" s="19">
        <f>ROUND(J651*E651,2)</f>
        <v>4831.97</v>
      </c>
      <c r="L651" s="178"/>
      <c r="M651" s="139">
        <v>1</v>
      </c>
      <c r="N651" s="139">
        <v>4392.7</v>
      </c>
      <c r="O651" s="139"/>
      <c r="P651" s="37">
        <f>Q651+Q651*R651+S651+T651+U651</f>
        <v>806</v>
      </c>
      <c r="Q651" s="99">
        <f>$Q$7</f>
        <v>610</v>
      </c>
      <c r="R651" s="163">
        <f>$R$7</f>
        <v>0.03</v>
      </c>
      <c r="S651" s="99">
        <f>$S$7</f>
        <v>130</v>
      </c>
      <c r="T651" s="99">
        <f>$T$7</f>
        <v>46.2</v>
      </c>
      <c r="U651" s="99">
        <f>$U$7</f>
        <v>1.5</v>
      </c>
      <c r="V651" s="37">
        <f>P651*E651</f>
        <v>4392.7</v>
      </c>
      <c r="W651" s="139"/>
      <c r="X651" s="139"/>
      <c r="Y651" s="139"/>
      <c r="Z651" s="139"/>
      <c r="AA651" s="139"/>
      <c r="AB651" s="139"/>
      <c r="AC651" s="139"/>
      <c r="AD651" s="139"/>
      <c r="AE651" s="139"/>
      <c r="AF651" s="140"/>
      <c r="AG651" s="140"/>
      <c r="AH651" s="140"/>
      <c r="AI651" s="140"/>
      <c r="AJ651" s="140"/>
      <c r="AK651" s="140"/>
      <c r="AL651" s="140"/>
      <c r="AM651" s="140"/>
      <c r="AN651" s="140"/>
      <c r="AO651" s="140"/>
      <c r="AP651" s="140"/>
      <c r="AQ651" s="140"/>
      <c r="AR651" s="140"/>
      <c r="AS651" s="140"/>
      <c r="AT651" s="140"/>
      <c r="AU651" s="140"/>
      <c r="AV651" s="140"/>
      <c r="AW651" s="140"/>
      <c r="AX651" s="140"/>
      <c r="AY651" s="140"/>
      <c r="AZ651" s="140"/>
      <c r="BA651" s="140"/>
      <c r="BB651" s="140"/>
      <c r="BC651" s="140"/>
      <c r="BD651" s="140"/>
      <c r="BE651" s="140"/>
    </row>
    <row r="652" s="119" customFormat="1" ht="108" customHeight="1" outlineLevel="2" spans="1:57">
      <c r="A652" s="162">
        <f>1+N(A651)</f>
        <v>2</v>
      </c>
      <c r="B652" s="14" t="s">
        <v>64</v>
      </c>
      <c r="C652" s="15" t="s">
        <v>65</v>
      </c>
      <c r="D652" s="142" t="s">
        <v>63</v>
      </c>
      <c r="E652" s="143">
        <v>8.2</v>
      </c>
      <c r="F652" s="143">
        <f>$F$8</f>
        <v>130</v>
      </c>
      <c r="G652" s="143">
        <f>$G$8</f>
        <v>854.9</v>
      </c>
      <c r="H652" s="143">
        <f>$H$8</f>
        <v>47.7</v>
      </c>
      <c r="I652" s="17">
        <f>(F652+G652+H652)*$I$3</f>
        <v>103.26</v>
      </c>
      <c r="J652" s="18">
        <f>ROUND(SUM(F652:I652),2)</f>
        <v>1135.86</v>
      </c>
      <c r="K652" s="19">
        <f>ROUND(J652*E652,2)</f>
        <v>9314.05</v>
      </c>
      <c r="L652" s="178"/>
      <c r="M652" s="139">
        <v>1</v>
      </c>
      <c r="N652" s="139">
        <v>8467.32</v>
      </c>
      <c r="O652" s="139"/>
      <c r="P652" s="37">
        <f>Q652+Q652*R652+S652+T652+U652</f>
        <v>1032.6</v>
      </c>
      <c r="Q652" s="99">
        <f>$Q$8</f>
        <v>830</v>
      </c>
      <c r="R652" s="163">
        <f>$R$8</f>
        <v>0.03</v>
      </c>
      <c r="S652" s="99">
        <f>$S$8</f>
        <v>130</v>
      </c>
      <c r="T652" s="99">
        <f>$T$8</f>
        <v>46.2</v>
      </c>
      <c r="U652" s="99">
        <f>$U$8</f>
        <v>1.5</v>
      </c>
      <c r="V652" s="37">
        <f>P652*E652</f>
        <v>8467.32</v>
      </c>
      <c r="W652" s="139"/>
      <c r="X652" s="139"/>
      <c r="Y652" s="139"/>
      <c r="Z652" s="139"/>
      <c r="AA652" s="139"/>
      <c r="AB652" s="139"/>
      <c r="AC652" s="139"/>
      <c r="AD652" s="139"/>
      <c r="AE652" s="139"/>
      <c r="AF652" s="140"/>
      <c r="AG652" s="140"/>
      <c r="AH652" s="140"/>
      <c r="AI652" s="140"/>
      <c r="AJ652" s="140"/>
      <c r="AK652" s="140"/>
      <c r="AL652" s="140"/>
      <c r="AM652" s="140"/>
      <c r="AN652" s="140"/>
      <c r="AO652" s="140"/>
      <c r="AP652" s="140"/>
      <c r="AQ652" s="140"/>
      <c r="AR652" s="140"/>
      <c r="AS652" s="140"/>
      <c r="AT652" s="140"/>
      <c r="AU652" s="140"/>
      <c r="AV652" s="140"/>
      <c r="AW652" s="140"/>
      <c r="AX652" s="140"/>
      <c r="AY652" s="140"/>
      <c r="AZ652" s="140"/>
      <c r="BA652" s="140"/>
      <c r="BB652" s="140"/>
      <c r="BC652" s="140"/>
      <c r="BD652" s="140"/>
      <c r="BE652" s="140"/>
    </row>
    <row r="653" s="119" customFormat="1" ht="48" customHeight="1" outlineLevel="2" spans="1:57">
      <c r="A653" s="162">
        <f>1+N(A652)</f>
        <v>3</v>
      </c>
      <c r="B653" s="14" t="s">
        <v>71</v>
      </c>
      <c r="C653" s="15" t="s">
        <v>72</v>
      </c>
      <c r="D653" s="142" t="s">
        <v>63</v>
      </c>
      <c r="E653" s="143">
        <v>13.65</v>
      </c>
      <c r="F653" s="143">
        <f>$F$11</f>
        <v>40</v>
      </c>
      <c r="G653" s="143">
        <f>$G$11</f>
        <v>15</v>
      </c>
      <c r="H653" s="143">
        <f>$H$11</f>
        <v>0.8</v>
      </c>
      <c r="I653" s="17">
        <f>(F653+G653+H653)*$I$3</f>
        <v>5.58</v>
      </c>
      <c r="J653" s="18">
        <f>ROUND(SUM(F653:I653),2)</f>
        <v>61.38</v>
      </c>
      <c r="K653" s="19">
        <f>ROUND(J653*E653,2)</f>
        <v>837.84</v>
      </c>
      <c r="L653" s="178"/>
      <c r="M653" s="139">
        <v>1</v>
      </c>
      <c r="N653" s="139">
        <v>761.67</v>
      </c>
      <c r="O653" s="139"/>
      <c r="P653" s="37">
        <f>Q653+Q653*R653+S653+T653+U653</f>
        <v>55.8</v>
      </c>
      <c r="Q653" s="99">
        <f>$Q$11</f>
        <v>15</v>
      </c>
      <c r="R653" s="163">
        <f>$R$11</f>
        <v>0</v>
      </c>
      <c r="S653" s="99">
        <f>$S$11</f>
        <v>40</v>
      </c>
      <c r="T653" s="99">
        <f>$T$11</f>
        <v>0.5</v>
      </c>
      <c r="U653" s="99">
        <f>$U$11</f>
        <v>0.3</v>
      </c>
      <c r="V653" s="37">
        <f>P653*E653</f>
        <v>761.67</v>
      </c>
      <c r="W653" s="139"/>
      <c r="X653" s="139"/>
      <c r="Y653" s="139"/>
      <c r="Z653" s="139"/>
      <c r="AA653" s="139"/>
      <c r="AB653" s="139"/>
      <c r="AC653" s="139"/>
      <c r="AD653" s="139"/>
      <c r="AE653" s="139"/>
      <c r="AF653" s="140"/>
      <c r="AG653" s="140"/>
      <c r="AH653" s="140"/>
      <c r="AI653" s="140"/>
      <c r="AJ653" s="140"/>
      <c r="AK653" s="140"/>
      <c r="AL653" s="140"/>
      <c r="AM653" s="140"/>
      <c r="AN653" s="140"/>
      <c r="AO653" s="140"/>
      <c r="AP653" s="140"/>
      <c r="AQ653" s="140"/>
      <c r="AR653" s="140"/>
      <c r="AS653" s="140"/>
      <c r="AT653" s="140"/>
      <c r="AU653" s="140"/>
      <c r="AV653" s="140"/>
      <c r="AW653" s="140"/>
      <c r="AX653" s="140"/>
      <c r="AY653" s="140"/>
      <c r="AZ653" s="140"/>
      <c r="BA653" s="140"/>
      <c r="BB653" s="140"/>
      <c r="BC653" s="140"/>
      <c r="BD653" s="140"/>
      <c r="BE653" s="140"/>
    </row>
    <row r="654" s="119" customFormat="1" ht="36" customHeight="1" outlineLevel="2" spans="1:57">
      <c r="A654" s="162">
        <f>1+N(A653)</f>
        <v>4</v>
      </c>
      <c r="B654" s="14" t="s">
        <v>68</v>
      </c>
      <c r="C654" s="15" t="s">
        <v>69</v>
      </c>
      <c r="D654" s="142" t="s">
        <v>70</v>
      </c>
      <c r="E654" s="143">
        <v>10.6</v>
      </c>
      <c r="F654" s="143">
        <f>$F$10</f>
        <v>12</v>
      </c>
      <c r="G654" s="143">
        <f>$G$10</f>
        <v>19.57</v>
      </c>
      <c r="H654" s="143">
        <f>$H$10</f>
        <v>0.5</v>
      </c>
      <c r="I654" s="17">
        <f>(F654+G654+H654)*$I$3</f>
        <v>3.207</v>
      </c>
      <c r="J654" s="18">
        <f>ROUND(SUM(F654:I654),2)</f>
        <v>35.28</v>
      </c>
      <c r="K654" s="19">
        <f>ROUND(J654*E654,2)</f>
        <v>373.97</v>
      </c>
      <c r="L654" s="178"/>
      <c r="M654" s="139">
        <v>1</v>
      </c>
      <c r="N654" s="139">
        <v>339.94</v>
      </c>
      <c r="O654" s="139"/>
      <c r="P654" s="37">
        <f>Q654+Q654*R654+S654+T654+U654</f>
        <v>32.07</v>
      </c>
      <c r="Q654" s="99">
        <f>$Q$10</f>
        <v>19</v>
      </c>
      <c r="R654" s="163">
        <f>$R$10</f>
        <v>0.03</v>
      </c>
      <c r="S654" s="99">
        <f>$S$10</f>
        <v>12</v>
      </c>
      <c r="T654" s="99">
        <f>$T$10</f>
        <v>0.3</v>
      </c>
      <c r="U654" s="99">
        <f>$U$10</f>
        <v>0.2</v>
      </c>
      <c r="V654" s="37">
        <f>P654*E654</f>
        <v>339.942</v>
      </c>
      <c r="W654" s="139"/>
      <c r="X654" s="139"/>
      <c r="Y654" s="139"/>
      <c r="Z654" s="139"/>
      <c r="AA654" s="139"/>
      <c r="AB654" s="139"/>
      <c r="AC654" s="139"/>
      <c r="AD654" s="139"/>
      <c r="AE654" s="139"/>
      <c r="AF654" s="140"/>
      <c r="AG654" s="140"/>
      <c r="AH654" s="140"/>
      <c r="AI654" s="140"/>
      <c r="AJ654" s="140"/>
      <c r="AK654" s="140"/>
      <c r="AL654" s="140"/>
      <c r="AM654" s="140"/>
      <c r="AN654" s="140"/>
      <c r="AO654" s="140"/>
      <c r="AP654" s="140"/>
      <c r="AQ654" s="140"/>
      <c r="AR654" s="140"/>
      <c r="AS654" s="140"/>
      <c r="AT654" s="140"/>
      <c r="AU654" s="140"/>
      <c r="AV654" s="140"/>
      <c r="AW654" s="140"/>
      <c r="AX654" s="140"/>
      <c r="AY654" s="140"/>
      <c r="AZ654" s="140"/>
      <c r="BA654" s="140"/>
      <c r="BB654" s="140"/>
      <c r="BC654" s="140"/>
      <c r="BD654" s="140"/>
      <c r="BE654" s="140"/>
    </row>
    <row r="655" s="119" customFormat="1" ht="24" customHeight="1" outlineLevel="1" spans="1:57">
      <c r="A655" s="141"/>
      <c r="B655" s="14" t="s">
        <v>73</v>
      </c>
      <c r="C655" s="15"/>
      <c r="D655" s="142"/>
      <c r="E655" s="143"/>
      <c r="F655" s="143"/>
      <c r="G655" s="143"/>
      <c r="H655" s="143"/>
      <c r="I655" s="143"/>
      <c r="J655" s="143"/>
      <c r="K655" s="144"/>
      <c r="L655" s="178"/>
      <c r="M655" s="139"/>
      <c r="N655" s="139"/>
      <c r="O655" s="139"/>
      <c r="P655" s="137"/>
      <c r="Q655" s="137"/>
      <c r="R655" s="138"/>
      <c r="S655" s="137"/>
      <c r="T655" s="137"/>
      <c r="U655" s="137"/>
      <c r="V655" s="137"/>
      <c r="W655" s="139"/>
      <c r="X655" s="139"/>
      <c r="Y655" s="139"/>
      <c r="Z655" s="139"/>
      <c r="AA655" s="139"/>
      <c r="AB655" s="139"/>
      <c r="AC655" s="139"/>
      <c r="AD655" s="139"/>
      <c r="AE655" s="139"/>
      <c r="AF655" s="140"/>
      <c r="AG655" s="140"/>
      <c r="AH655" s="140"/>
      <c r="AI655" s="140"/>
      <c r="AJ655" s="140"/>
      <c r="AK655" s="140"/>
      <c r="AL655" s="140"/>
      <c r="AM655" s="140"/>
      <c r="AN655" s="140"/>
      <c r="AO655" s="140"/>
      <c r="AP655" s="140"/>
      <c r="AQ655" s="140"/>
      <c r="AR655" s="140"/>
      <c r="AS655" s="140"/>
      <c r="AT655" s="140"/>
      <c r="AU655" s="140"/>
      <c r="AV655" s="140"/>
      <c r="AW655" s="140"/>
      <c r="AX655" s="140"/>
      <c r="AY655" s="140"/>
      <c r="AZ655" s="140"/>
      <c r="BA655" s="140"/>
      <c r="BB655" s="140"/>
      <c r="BC655" s="140"/>
      <c r="BD655" s="140"/>
      <c r="BE655" s="140"/>
    </row>
    <row r="656" s="119" customFormat="1" ht="96" customHeight="1" outlineLevel="2" spans="1:57">
      <c r="A656" s="162">
        <f t="shared" ref="A656:A664" si="183">1+N(A655)</f>
        <v>1</v>
      </c>
      <c r="B656" s="165" t="s">
        <v>76</v>
      </c>
      <c r="C656" s="166" t="s">
        <v>77</v>
      </c>
      <c r="D656" s="142" t="s">
        <v>63</v>
      </c>
      <c r="E656" s="143">
        <f>34.337+0.814</f>
        <v>35.151</v>
      </c>
      <c r="F656" s="143">
        <f>$F$14</f>
        <v>145</v>
      </c>
      <c r="G656" s="143">
        <f>$G$14</f>
        <v>651</v>
      </c>
      <c r="H656" s="143">
        <f>$H$14</f>
        <v>113.55</v>
      </c>
      <c r="I656" s="17">
        <f t="shared" ref="I656:I664" si="184">(F656+G656+H656)*$I$3</f>
        <v>90.955</v>
      </c>
      <c r="J656" s="18">
        <f t="shared" ref="J656:J664" si="185">ROUND(SUM(F656:I656),2)</f>
        <v>1000.51</v>
      </c>
      <c r="K656" s="19">
        <f t="shared" ref="K656:K664" si="186">ROUND(J656*E656,2)</f>
        <v>35168.93</v>
      </c>
      <c r="L656" s="178"/>
      <c r="M656" s="139">
        <v>1</v>
      </c>
      <c r="N656" s="139">
        <v>31971.59</v>
      </c>
      <c r="O656" s="139"/>
      <c r="P656" s="37">
        <f t="shared" ref="P656:P664" si="187">Q656+Q656*R656+S656+T656+U656</f>
        <v>909.55</v>
      </c>
      <c r="Q656" s="99">
        <f>$Q$14</f>
        <v>620</v>
      </c>
      <c r="R656" s="163">
        <f>$R$14</f>
        <v>0.05</v>
      </c>
      <c r="S656" s="99">
        <f>$S$14</f>
        <v>145</v>
      </c>
      <c r="T656" s="99">
        <f>$T$14</f>
        <v>111.75</v>
      </c>
      <c r="U656" s="99">
        <f>$U$14</f>
        <v>1.8</v>
      </c>
      <c r="V656" s="37">
        <f t="shared" ref="V656:V664" si="188">P656*E656</f>
        <v>31971.59205</v>
      </c>
      <c r="W656" s="139"/>
      <c r="X656" s="139"/>
      <c r="Y656" s="139"/>
      <c r="Z656" s="139"/>
      <c r="AA656" s="139"/>
      <c r="AB656" s="139"/>
      <c r="AC656" s="139"/>
      <c r="AD656" s="139"/>
      <c r="AE656" s="139"/>
      <c r="AF656" s="140"/>
      <c r="AG656" s="140"/>
      <c r="AH656" s="140"/>
      <c r="AI656" s="140"/>
      <c r="AJ656" s="140"/>
      <c r="AK656" s="140"/>
      <c r="AL656" s="140"/>
      <c r="AM656" s="140"/>
      <c r="AN656" s="140"/>
      <c r="AO656" s="140"/>
      <c r="AP656" s="140"/>
      <c r="AQ656" s="140"/>
      <c r="AR656" s="140"/>
      <c r="AS656" s="140"/>
      <c r="AT656" s="140"/>
      <c r="AU656" s="140"/>
      <c r="AV656" s="140"/>
      <c r="AW656" s="140"/>
      <c r="AX656" s="140"/>
      <c r="AY656" s="140"/>
      <c r="AZ656" s="140"/>
      <c r="BA656" s="140"/>
      <c r="BB656" s="140"/>
      <c r="BC656" s="140"/>
      <c r="BD656" s="140"/>
      <c r="BE656" s="140"/>
    </row>
    <row r="657" s="119" customFormat="1" ht="48" customHeight="1" outlineLevel="2" spans="1:57">
      <c r="A657" s="162">
        <f t="shared" si="183"/>
        <v>2</v>
      </c>
      <c r="B657" s="14" t="s">
        <v>82</v>
      </c>
      <c r="C657" s="166" t="s">
        <v>83</v>
      </c>
      <c r="D657" s="142" t="s">
        <v>63</v>
      </c>
      <c r="E657" s="143">
        <f>1.07*3.4*2+1.246*1.87</f>
        <v>9.60602</v>
      </c>
      <c r="F657" s="143">
        <f>$F$17</f>
        <v>110</v>
      </c>
      <c r="G657" s="143">
        <f>$G$17</f>
        <v>454.5</v>
      </c>
      <c r="H657" s="143">
        <f>$H$17</f>
        <v>55.2</v>
      </c>
      <c r="I657" s="17">
        <f t="shared" si="184"/>
        <v>61.97</v>
      </c>
      <c r="J657" s="18">
        <f t="shared" si="185"/>
        <v>681.67</v>
      </c>
      <c r="K657" s="19">
        <f t="shared" si="186"/>
        <v>6548.14</v>
      </c>
      <c r="L657" s="178"/>
      <c r="M657" s="139">
        <v>1</v>
      </c>
      <c r="N657" s="139">
        <v>5952.85</v>
      </c>
      <c r="O657" s="139"/>
      <c r="P657" s="37">
        <f t="shared" si="187"/>
        <v>619.7</v>
      </c>
      <c r="Q657" s="99">
        <f>$Q$17</f>
        <v>450</v>
      </c>
      <c r="R657" s="163">
        <f>$R$17</f>
        <v>0.01</v>
      </c>
      <c r="S657" s="99">
        <f>$S$17</f>
        <v>110</v>
      </c>
      <c r="T657" s="99">
        <f>$T$17</f>
        <v>54</v>
      </c>
      <c r="U657" s="99">
        <f>$U$17</f>
        <v>1.2</v>
      </c>
      <c r="V657" s="37">
        <f t="shared" si="188"/>
        <v>5952.850594</v>
      </c>
      <c r="W657" s="139"/>
      <c r="X657" s="139"/>
      <c r="Y657" s="139"/>
      <c r="Z657" s="139"/>
      <c r="AA657" s="139"/>
      <c r="AB657" s="139"/>
      <c r="AC657" s="139"/>
      <c r="AD657" s="139"/>
      <c r="AE657" s="139"/>
      <c r="AF657" s="140"/>
      <c r="AG657" s="140"/>
      <c r="AH657" s="140"/>
      <c r="AI657" s="140"/>
      <c r="AJ657" s="140"/>
      <c r="AK657" s="140"/>
      <c r="AL657" s="140"/>
      <c r="AM657" s="140"/>
      <c r="AN657" s="140"/>
      <c r="AO657" s="140"/>
      <c r="AP657" s="140"/>
      <c r="AQ657" s="140"/>
      <c r="AR657" s="140"/>
      <c r="AS657" s="140"/>
      <c r="AT657" s="140"/>
      <c r="AU657" s="140"/>
      <c r="AV657" s="140"/>
      <c r="AW657" s="140"/>
      <c r="AX657" s="140"/>
      <c r="AY657" s="140"/>
      <c r="AZ657" s="140"/>
      <c r="BA657" s="140"/>
      <c r="BB657" s="140"/>
      <c r="BC657" s="140"/>
      <c r="BD657" s="140"/>
      <c r="BE657" s="140"/>
    </row>
    <row r="658" s="119" customFormat="1" ht="48" customHeight="1" outlineLevel="2" spans="1:57">
      <c r="A658" s="162">
        <f t="shared" si="183"/>
        <v>3</v>
      </c>
      <c r="B658" s="165" t="s">
        <v>84</v>
      </c>
      <c r="C658" s="166" t="s">
        <v>83</v>
      </c>
      <c r="D658" s="165" t="s">
        <v>63</v>
      </c>
      <c r="E658" s="143">
        <f>0.34*3.4*2*2</f>
        <v>4.624</v>
      </c>
      <c r="F658" s="143">
        <f>$F$18</f>
        <v>110</v>
      </c>
      <c r="G658" s="143">
        <f>$G$18</f>
        <v>454.5</v>
      </c>
      <c r="H658" s="143">
        <f>$H$18</f>
        <v>55.2</v>
      </c>
      <c r="I658" s="17">
        <f t="shared" si="184"/>
        <v>61.97</v>
      </c>
      <c r="J658" s="18">
        <f t="shared" si="185"/>
        <v>681.67</v>
      </c>
      <c r="K658" s="19">
        <f t="shared" si="186"/>
        <v>3152.04</v>
      </c>
      <c r="L658" s="178"/>
      <c r="M658" s="139">
        <v>1</v>
      </c>
      <c r="N658" s="139">
        <v>2865.49</v>
      </c>
      <c r="O658" s="139"/>
      <c r="P658" s="37">
        <f t="shared" si="187"/>
        <v>619.7</v>
      </c>
      <c r="Q658" s="99">
        <f>$Q$18</f>
        <v>450</v>
      </c>
      <c r="R658" s="163">
        <f>$R$18</f>
        <v>0.01</v>
      </c>
      <c r="S658" s="99">
        <f>$S$18</f>
        <v>110</v>
      </c>
      <c r="T658" s="99">
        <f>$T$18</f>
        <v>54</v>
      </c>
      <c r="U658" s="99">
        <f>$U$18</f>
        <v>1.2</v>
      </c>
      <c r="V658" s="37">
        <f t="shared" si="188"/>
        <v>2865.4928</v>
      </c>
      <c r="W658" s="139"/>
      <c r="X658" s="139"/>
      <c r="Y658" s="139"/>
      <c r="Z658" s="139"/>
      <c r="AA658" s="139"/>
      <c r="AB658" s="139"/>
      <c r="AC658" s="139"/>
      <c r="AD658" s="139"/>
      <c r="AE658" s="139"/>
      <c r="AF658" s="140"/>
      <c r="AG658" s="140"/>
      <c r="AH658" s="140"/>
      <c r="AI658" s="140"/>
      <c r="AJ658" s="140"/>
      <c r="AK658" s="140"/>
      <c r="AL658" s="140"/>
      <c r="AM658" s="140"/>
      <c r="AN658" s="140"/>
      <c r="AO658" s="140"/>
      <c r="AP658" s="140"/>
      <c r="AQ658" s="140"/>
      <c r="AR658" s="140"/>
      <c r="AS658" s="140"/>
      <c r="AT658" s="140"/>
      <c r="AU658" s="140"/>
      <c r="AV658" s="140"/>
      <c r="AW658" s="140"/>
      <c r="AX658" s="140"/>
      <c r="AY658" s="140"/>
      <c r="AZ658" s="140"/>
      <c r="BA658" s="140"/>
      <c r="BB658" s="140"/>
      <c r="BC658" s="140"/>
      <c r="BD658" s="140"/>
      <c r="BE658" s="140"/>
    </row>
    <row r="659" s="119" customFormat="1" ht="60" customHeight="1" outlineLevel="2" spans="1:57">
      <c r="A659" s="162">
        <f t="shared" si="183"/>
        <v>4</v>
      </c>
      <c r="B659" s="165" t="s">
        <v>85</v>
      </c>
      <c r="C659" s="166" t="s">
        <v>86</v>
      </c>
      <c r="D659" s="165" t="s">
        <v>63</v>
      </c>
      <c r="E659" s="143">
        <f>+(0.061+1.09+0.114+0.074)*0.95*2</f>
        <v>2.5441</v>
      </c>
      <c r="F659" s="143">
        <f>$F$19</f>
        <v>110</v>
      </c>
      <c r="G659" s="143">
        <f>$G$19</f>
        <v>454.5</v>
      </c>
      <c r="H659" s="143">
        <f>$H$19</f>
        <v>55.2</v>
      </c>
      <c r="I659" s="17">
        <f t="shared" si="184"/>
        <v>61.97</v>
      </c>
      <c r="J659" s="18">
        <f t="shared" si="185"/>
        <v>681.67</v>
      </c>
      <c r="K659" s="19">
        <f t="shared" si="186"/>
        <v>1734.24</v>
      </c>
      <c r="L659" s="178"/>
      <c r="M659" s="139">
        <v>1</v>
      </c>
      <c r="N659" s="139">
        <v>1576.58</v>
      </c>
      <c r="O659" s="139"/>
      <c r="P659" s="37">
        <f t="shared" si="187"/>
        <v>619.7</v>
      </c>
      <c r="Q659" s="99">
        <f>$Q$19</f>
        <v>450</v>
      </c>
      <c r="R659" s="163">
        <f>$R$19</f>
        <v>0.01</v>
      </c>
      <c r="S659" s="99">
        <f>$S$19</f>
        <v>110</v>
      </c>
      <c r="T659" s="99">
        <f>$T$19</f>
        <v>54</v>
      </c>
      <c r="U659" s="99">
        <f>$U$19</f>
        <v>1.2</v>
      </c>
      <c r="V659" s="37">
        <f t="shared" si="188"/>
        <v>1576.57877</v>
      </c>
      <c r="W659" s="139"/>
      <c r="X659" s="139"/>
      <c r="Y659" s="139"/>
      <c r="Z659" s="139"/>
      <c r="AA659" s="139"/>
      <c r="AB659" s="139"/>
      <c r="AC659" s="139"/>
      <c r="AD659" s="139"/>
      <c r="AE659" s="139"/>
      <c r="AF659" s="140"/>
      <c r="AG659" s="140"/>
      <c r="AH659" s="140"/>
      <c r="AI659" s="140"/>
      <c r="AJ659" s="140"/>
      <c r="AK659" s="140"/>
      <c r="AL659" s="140"/>
      <c r="AM659" s="140"/>
      <c r="AN659" s="140"/>
      <c r="AO659" s="140"/>
      <c r="AP659" s="140"/>
      <c r="AQ659" s="140"/>
      <c r="AR659" s="140"/>
      <c r="AS659" s="140"/>
      <c r="AT659" s="140"/>
      <c r="AU659" s="140"/>
      <c r="AV659" s="140"/>
      <c r="AW659" s="140"/>
      <c r="AX659" s="140"/>
      <c r="AY659" s="140"/>
      <c r="AZ659" s="140"/>
      <c r="BA659" s="140"/>
      <c r="BB659" s="140"/>
      <c r="BC659" s="140"/>
      <c r="BD659" s="140"/>
      <c r="BE659" s="140"/>
    </row>
    <row r="660" s="119" customFormat="1" ht="48" customHeight="1" outlineLevel="2" spans="1:57">
      <c r="A660" s="162">
        <f t="shared" si="183"/>
        <v>5</v>
      </c>
      <c r="B660" s="165" t="s">
        <v>87</v>
      </c>
      <c r="C660" s="166" t="s">
        <v>88</v>
      </c>
      <c r="D660" s="165" t="s">
        <v>63</v>
      </c>
      <c r="E660" s="143">
        <v>0.252</v>
      </c>
      <c r="F660" s="143">
        <f>$F$20</f>
        <v>110</v>
      </c>
      <c r="G660" s="143">
        <f>$G$20</f>
        <v>454.5</v>
      </c>
      <c r="H660" s="143">
        <f>$H$20</f>
        <v>55.2</v>
      </c>
      <c r="I660" s="17">
        <f t="shared" si="184"/>
        <v>61.97</v>
      </c>
      <c r="J660" s="18">
        <f t="shared" si="185"/>
        <v>681.67</v>
      </c>
      <c r="K660" s="19">
        <f t="shared" si="186"/>
        <v>171.78</v>
      </c>
      <c r="L660" s="178"/>
      <c r="M660" s="139">
        <v>1</v>
      </c>
      <c r="N660" s="139">
        <v>156.16</v>
      </c>
      <c r="O660" s="139"/>
      <c r="P660" s="37">
        <f t="shared" si="187"/>
        <v>619.7</v>
      </c>
      <c r="Q660" s="99">
        <f>$Q$20</f>
        <v>450</v>
      </c>
      <c r="R660" s="163">
        <f>$R$20</f>
        <v>0.01</v>
      </c>
      <c r="S660" s="99">
        <f>$S$20</f>
        <v>110</v>
      </c>
      <c r="T660" s="99">
        <f>$T$20</f>
        <v>54</v>
      </c>
      <c r="U660" s="99">
        <f>$U$20</f>
        <v>1.2</v>
      </c>
      <c r="V660" s="37">
        <f t="shared" si="188"/>
        <v>156.1644</v>
      </c>
      <c r="W660" s="139"/>
      <c r="X660" s="139"/>
      <c r="Y660" s="139"/>
      <c r="Z660" s="139"/>
      <c r="AA660" s="139"/>
      <c r="AB660" s="139"/>
      <c r="AC660" s="139"/>
      <c r="AD660" s="139"/>
      <c r="AE660" s="139"/>
      <c r="AF660" s="140"/>
      <c r="AG660" s="140"/>
      <c r="AH660" s="140"/>
      <c r="AI660" s="140"/>
      <c r="AJ660" s="140"/>
      <c r="AK660" s="140"/>
      <c r="AL660" s="140"/>
      <c r="AM660" s="140"/>
      <c r="AN660" s="140"/>
      <c r="AO660" s="140"/>
      <c r="AP660" s="140"/>
      <c r="AQ660" s="140"/>
      <c r="AR660" s="140"/>
      <c r="AS660" s="140"/>
      <c r="AT660" s="140"/>
      <c r="AU660" s="140"/>
      <c r="AV660" s="140"/>
      <c r="AW660" s="140"/>
      <c r="AX660" s="140"/>
      <c r="AY660" s="140"/>
      <c r="AZ660" s="140"/>
      <c r="BA660" s="140"/>
      <c r="BB660" s="140"/>
      <c r="BC660" s="140"/>
      <c r="BD660" s="140"/>
      <c r="BE660" s="140"/>
    </row>
    <row r="661" s="119" customFormat="1" ht="48" customHeight="1" outlineLevel="2" spans="1:57">
      <c r="A661" s="162">
        <f t="shared" si="183"/>
        <v>6</v>
      </c>
      <c r="B661" s="165" t="s">
        <v>91</v>
      </c>
      <c r="C661" s="166" t="s">
        <v>92</v>
      </c>
      <c r="D661" s="165" t="s">
        <v>70</v>
      </c>
      <c r="E661" s="143">
        <v>10.529</v>
      </c>
      <c r="F661" s="143">
        <f>$F$22</f>
        <v>12</v>
      </c>
      <c r="G661" s="143">
        <f>$G$22</f>
        <v>25.75</v>
      </c>
      <c r="H661" s="143">
        <f>$H$22</f>
        <v>3.8</v>
      </c>
      <c r="I661" s="17">
        <f t="shared" si="184"/>
        <v>4.155</v>
      </c>
      <c r="J661" s="18">
        <f t="shared" si="185"/>
        <v>45.71</v>
      </c>
      <c r="K661" s="19">
        <f t="shared" si="186"/>
        <v>481.28</v>
      </c>
      <c r="L661" s="178"/>
      <c r="M661" s="139">
        <v>1</v>
      </c>
      <c r="N661" s="139">
        <v>437.48</v>
      </c>
      <c r="O661" s="139"/>
      <c r="P661" s="37">
        <f t="shared" si="187"/>
        <v>41.55</v>
      </c>
      <c r="Q661" s="99">
        <f>$Q$22</f>
        <v>25</v>
      </c>
      <c r="R661" s="163">
        <f>$R$22</f>
        <v>0.03</v>
      </c>
      <c r="S661" s="99">
        <f>$S$22</f>
        <v>12</v>
      </c>
      <c r="T661" s="99">
        <f>$T$22</f>
        <v>3.5</v>
      </c>
      <c r="U661" s="99">
        <f>$U$22</f>
        <v>0.3</v>
      </c>
      <c r="V661" s="37">
        <f t="shared" si="188"/>
        <v>437.47995</v>
      </c>
      <c r="W661" s="139"/>
      <c r="X661" s="139"/>
      <c r="Y661" s="139"/>
      <c r="Z661" s="139"/>
      <c r="AA661" s="139"/>
      <c r="AB661" s="139"/>
      <c r="AC661" s="139"/>
      <c r="AD661" s="139"/>
      <c r="AE661" s="139"/>
      <c r="AF661" s="140"/>
      <c r="AG661" s="140"/>
      <c r="AH661" s="140"/>
      <c r="AI661" s="140"/>
      <c r="AJ661" s="140"/>
      <c r="AK661" s="140"/>
      <c r="AL661" s="140"/>
      <c r="AM661" s="140"/>
      <c r="AN661" s="140"/>
      <c r="AO661" s="140"/>
      <c r="AP661" s="140"/>
      <c r="AQ661" s="140"/>
      <c r="AR661" s="140"/>
      <c r="AS661" s="140"/>
      <c r="AT661" s="140"/>
      <c r="AU661" s="140"/>
      <c r="AV661" s="140"/>
      <c r="AW661" s="140"/>
      <c r="AX661" s="140"/>
      <c r="AY661" s="140"/>
      <c r="AZ661" s="140"/>
      <c r="BA661" s="140"/>
      <c r="BB661" s="140"/>
      <c r="BC661" s="140"/>
      <c r="BD661" s="140"/>
      <c r="BE661" s="140"/>
    </row>
    <row r="662" s="119" customFormat="1" ht="36" customHeight="1" outlineLevel="2" spans="1:57">
      <c r="A662" s="162">
        <f t="shared" si="183"/>
        <v>7</v>
      </c>
      <c r="B662" s="165" t="s">
        <v>93</v>
      </c>
      <c r="C662" s="166" t="s">
        <v>94</v>
      </c>
      <c r="D662" s="165" t="s">
        <v>70</v>
      </c>
      <c r="E662" s="143">
        <f>0.17*2</f>
        <v>0.34</v>
      </c>
      <c r="F662" s="143">
        <f>$F$23</f>
        <v>12</v>
      </c>
      <c r="G662" s="143">
        <f>$G$23</f>
        <v>30.385</v>
      </c>
      <c r="H662" s="143">
        <f>$H$23</f>
        <v>3.8</v>
      </c>
      <c r="I662" s="17">
        <f t="shared" si="184"/>
        <v>4.6185</v>
      </c>
      <c r="J662" s="18">
        <f t="shared" si="185"/>
        <v>50.8</v>
      </c>
      <c r="K662" s="19">
        <f t="shared" si="186"/>
        <v>17.27</v>
      </c>
      <c r="L662" s="178"/>
      <c r="M662" s="139">
        <v>1</v>
      </c>
      <c r="N662" s="139">
        <v>15.7</v>
      </c>
      <c r="O662" s="139"/>
      <c r="P662" s="37">
        <f t="shared" si="187"/>
        <v>46.185</v>
      </c>
      <c r="Q662" s="99">
        <f>$Q$23</f>
        <v>29.5</v>
      </c>
      <c r="R662" s="163">
        <f>$R$23</f>
        <v>0.03</v>
      </c>
      <c r="S662" s="99">
        <f>$S$23</f>
        <v>12</v>
      </c>
      <c r="T662" s="99">
        <f>$T$23</f>
        <v>3.5</v>
      </c>
      <c r="U662" s="99">
        <f>$U$23</f>
        <v>0.3</v>
      </c>
      <c r="V662" s="37">
        <f t="shared" si="188"/>
        <v>15.7029</v>
      </c>
      <c r="W662" s="139"/>
      <c r="X662" s="139"/>
      <c r="Y662" s="139"/>
      <c r="Z662" s="139"/>
      <c r="AA662" s="139"/>
      <c r="AB662" s="139"/>
      <c r="AC662" s="139"/>
      <c r="AD662" s="139"/>
      <c r="AE662" s="139"/>
      <c r="AF662" s="140"/>
      <c r="AG662" s="140"/>
      <c r="AH662" s="140"/>
      <c r="AI662" s="140"/>
      <c r="AJ662" s="140"/>
      <c r="AK662" s="140"/>
      <c r="AL662" s="140"/>
      <c r="AM662" s="140"/>
      <c r="AN662" s="140"/>
      <c r="AO662" s="140"/>
      <c r="AP662" s="140"/>
      <c r="AQ662" s="140"/>
      <c r="AR662" s="140"/>
      <c r="AS662" s="140"/>
      <c r="AT662" s="140"/>
      <c r="AU662" s="140"/>
      <c r="AV662" s="140"/>
      <c r="AW662" s="140"/>
      <c r="AX662" s="140"/>
      <c r="AY662" s="140"/>
      <c r="AZ662" s="140"/>
      <c r="BA662" s="140"/>
      <c r="BB662" s="140"/>
      <c r="BC662" s="140"/>
      <c r="BD662" s="140"/>
      <c r="BE662" s="140"/>
    </row>
    <row r="663" s="119" customFormat="1" ht="48" customHeight="1" outlineLevel="2" spans="1:57">
      <c r="A663" s="162">
        <f t="shared" si="183"/>
        <v>8</v>
      </c>
      <c r="B663" s="165" t="s">
        <v>97</v>
      </c>
      <c r="C663" s="166" t="s">
        <v>98</v>
      </c>
      <c r="D663" s="165" t="s">
        <v>70</v>
      </c>
      <c r="E663" s="143">
        <v>10.189</v>
      </c>
      <c r="F663" s="143">
        <f>$F$25</f>
        <v>22</v>
      </c>
      <c r="G663" s="143">
        <f>$G$25</f>
        <v>58.195</v>
      </c>
      <c r="H663" s="143">
        <f>$H$25</f>
        <v>6.3</v>
      </c>
      <c r="I663" s="17">
        <f t="shared" si="184"/>
        <v>8.6495</v>
      </c>
      <c r="J663" s="18">
        <f t="shared" si="185"/>
        <v>95.14</v>
      </c>
      <c r="K663" s="19">
        <f t="shared" si="186"/>
        <v>969.38</v>
      </c>
      <c r="L663" s="178"/>
      <c r="M663" s="139">
        <v>1</v>
      </c>
      <c r="N663" s="139">
        <v>881.35</v>
      </c>
      <c r="O663" s="139"/>
      <c r="P663" s="37">
        <f t="shared" si="187"/>
        <v>86.495</v>
      </c>
      <c r="Q663" s="99">
        <f>$Q$25</f>
        <v>56.5</v>
      </c>
      <c r="R663" s="163">
        <f>$R$25</f>
        <v>0.03</v>
      </c>
      <c r="S663" s="99">
        <f>$S$25</f>
        <v>22</v>
      </c>
      <c r="T663" s="99">
        <f>$T$25</f>
        <v>6</v>
      </c>
      <c r="U663" s="99">
        <f>$U$25</f>
        <v>0.3</v>
      </c>
      <c r="V663" s="37">
        <f t="shared" si="188"/>
        <v>881.297555</v>
      </c>
      <c r="W663" s="139"/>
      <c r="X663" s="139"/>
      <c r="Y663" s="139"/>
      <c r="Z663" s="139"/>
      <c r="AA663" s="139"/>
      <c r="AB663" s="139"/>
      <c r="AC663" s="139"/>
      <c r="AD663" s="139"/>
      <c r="AE663" s="139"/>
      <c r="AF663" s="140"/>
      <c r="AG663" s="140"/>
      <c r="AH663" s="140"/>
      <c r="AI663" s="140"/>
      <c r="AJ663" s="140"/>
      <c r="AK663" s="140"/>
      <c r="AL663" s="140"/>
      <c r="AM663" s="140"/>
      <c r="AN663" s="140"/>
      <c r="AO663" s="140"/>
      <c r="AP663" s="140"/>
      <c r="AQ663" s="140"/>
      <c r="AR663" s="140"/>
      <c r="AS663" s="140"/>
      <c r="AT663" s="140"/>
      <c r="AU663" s="140"/>
      <c r="AV663" s="140"/>
      <c r="AW663" s="140"/>
      <c r="AX663" s="140"/>
      <c r="AY663" s="140"/>
      <c r="AZ663" s="140"/>
      <c r="BA663" s="140"/>
      <c r="BB663" s="140"/>
      <c r="BC663" s="140"/>
      <c r="BD663" s="140"/>
      <c r="BE663" s="140"/>
    </row>
    <row r="664" s="119" customFormat="1" ht="48" customHeight="1" outlineLevel="2" spans="1:57">
      <c r="A664" s="162">
        <f t="shared" si="183"/>
        <v>9</v>
      </c>
      <c r="B664" s="165" t="s">
        <v>99</v>
      </c>
      <c r="C664" s="166" t="s">
        <v>100</v>
      </c>
      <c r="D664" s="165" t="s">
        <v>70</v>
      </c>
      <c r="E664" s="143">
        <v>10.529</v>
      </c>
      <c r="F664" s="143">
        <f>$F$26</f>
        <v>12</v>
      </c>
      <c r="G664" s="143">
        <f>$G$26</f>
        <v>23.4325</v>
      </c>
      <c r="H664" s="143">
        <f>$H$26</f>
        <v>3.8</v>
      </c>
      <c r="I664" s="17">
        <f t="shared" si="184"/>
        <v>3.92325</v>
      </c>
      <c r="J664" s="18">
        <f t="shared" si="185"/>
        <v>43.16</v>
      </c>
      <c r="K664" s="19">
        <f t="shared" si="186"/>
        <v>454.43</v>
      </c>
      <c r="L664" s="178"/>
      <c r="M664" s="139">
        <v>1</v>
      </c>
      <c r="N664" s="139">
        <v>413.05</v>
      </c>
      <c r="O664" s="139"/>
      <c r="P664" s="37">
        <f t="shared" si="187"/>
        <v>39.2325</v>
      </c>
      <c r="Q664" s="99">
        <f>$Q$26</f>
        <v>22.75</v>
      </c>
      <c r="R664" s="163">
        <f>$R$26</f>
        <v>0.03</v>
      </c>
      <c r="S664" s="99">
        <f>$S$26</f>
        <v>12</v>
      </c>
      <c r="T664" s="99">
        <f>$T$26</f>
        <v>3.5</v>
      </c>
      <c r="U664" s="99">
        <f>$U$26</f>
        <v>0.3</v>
      </c>
      <c r="V664" s="37">
        <f t="shared" si="188"/>
        <v>413.0789925</v>
      </c>
      <c r="W664" s="139"/>
      <c r="X664" s="139"/>
      <c r="Y664" s="139"/>
      <c r="Z664" s="139"/>
      <c r="AA664" s="139"/>
      <c r="AB664" s="139"/>
      <c r="AC664" s="139"/>
      <c r="AD664" s="139"/>
      <c r="AE664" s="139"/>
      <c r="AF664" s="140"/>
      <c r="AG664" s="140"/>
      <c r="AH664" s="140"/>
      <c r="AI664" s="140"/>
      <c r="AJ664" s="140"/>
      <c r="AK664" s="140"/>
      <c r="AL664" s="140"/>
      <c r="AM664" s="140"/>
      <c r="AN664" s="140"/>
      <c r="AO664" s="140"/>
      <c r="AP664" s="140"/>
      <c r="AQ664" s="140"/>
      <c r="AR664" s="140"/>
      <c r="AS664" s="140"/>
      <c r="AT664" s="140"/>
      <c r="AU664" s="140"/>
      <c r="AV664" s="140"/>
      <c r="AW664" s="140"/>
      <c r="AX664" s="140"/>
      <c r="AY664" s="140"/>
      <c r="AZ664" s="140"/>
      <c r="BA664" s="140"/>
      <c r="BB664" s="140"/>
      <c r="BC664" s="140"/>
      <c r="BD664" s="140"/>
      <c r="BE664" s="140"/>
    </row>
    <row r="665" s="119" customFormat="1" ht="24" customHeight="1" outlineLevel="1" spans="1:57">
      <c r="A665" s="141"/>
      <c r="B665" s="14" t="s">
        <v>101</v>
      </c>
      <c r="C665" s="15"/>
      <c r="D665" s="142"/>
      <c r="E665" s="143"/>
      <c r="F665" s="143"/>
      <c r="G665" s="143"/>
      <c r="H665" s="143"/>
      <c r="I665" s="143"/>
      <c r="J665" s="143"/>
      <c r="K665" s="144"/>
      <c r="L665" s="178"/>
      <c r="M665" s="139"/>
      <c r="N665" s="139"/>
      <c r="O665" s="139"/>
      <c r="P665" s="137"/>
      <c r="Q665" s="137"/>
      <c r="R665" s="138"/>
      <c r="S665" s="137"/>
      <c r="T665" s="137"/>
      <c r="U665" s="137"/>
      <c r="V665" s="137"/>
      <c r="W665" s="139"/>
      <c r="X665" s="139"/>
      <c r="Y665" s="139"/>
      <c r="Z665" s="139"/>
      <c r="AA665" s="139"/>
      <c r="AB665" s="139"/>
      <c r="AC665" s="139"/>
      <c r="AD665" s="139"/>
      <c r="AE665" s="139"/>
      <c r="AF665" s="140"/>
      <c r="AG665" s="140"/>
      <c r="AH665" s="140"/>
      <c r="AI665" s="140"/>
      <c r="AJ665" s="140"/>
      <c r="AK665" s="140"/>
      <c r="AL665" s="140"/>
      <c r="AM665" s="140"/>
      <c r="AN665" s="140"/>
      <c r="AO665" s="140"/>
      <c r="AP665" s="140"/>
      <c r="AQ665" s="140"/>
      <c r="AR665" s="140"/>
      <c r="AS665" s="140"/>
      <c r="AT665" s="140"/>
      <c r="AU665" s="140"/>
      <c r="AV665" s="140"/>
      <c r="AW665" s="140"/>
      <c r="AX665" s="140"/>
      <c r="AY665" s="140"/>
      <c r="AZ665" s="140"/>
      <c r="BA665" s="140"/>
      <c r="BB665" s="140"/>
      <c r="BC665" s="140"/>
      <c r="BD665" s="140"/>
      <c r="BE665" s="140"/>
    </row>
    <row r="666" s="119" customFormat="1" ht="96" customHeight="1" outlineLevel="2" spans="1:57">
      <c r="A666" s="162">
        <f>1+N(A665)</f>
        <v>1</v>
      </c>
      <c r="B666" s="14" t="s">
        <v>102</v>
      </c>
      <c r="C666" s="167" t="s">
        <v>103</v>
      </c>
      <c r="D666" s="142" t="s">
        <v>63</v>
      </c>
      <c r="E666" s="143">
        <v>13.65</v>
      </c>
      <c r="F666" s="143">
        <f>$F$28</f>
        <v>70</v>
      </c>
      <c r="G666" s="143">
        <f>$G$28</f>
        <v>0</v>
      </c>
      <c r="H666" s="143">
        <f>$H$28</f>
        <v>66.711</v>
      </c>
      <c r="I666" s="17">
        <f>(F666+G666+H666)*$I$3</f>
        <v>13.6711</v>
      </c>
      <c r="J666" s="18">
        <f>ROUND(SUM(F666:I666),2)</f>
        <v>150.38</v>
      </c>
      <c r="K666" s="19">
        <f>ROUND(J666*E666,2)</f>
        <v>2052.69</v>
      </c>
      <c r="L666" s="178"/>
      <c r="M666" s="139">
        <v>1</v>
      </c>
      <c r="N666" s="139">
        <v>1866.09</v>
      </c>
      <c r="O666" s="139"/>
      <c r="P666" s="37">
        <f>Q666+Q666*R666+S666+T666+U666</f>
        <v>136.711</v>
      </c>
      <c r="Q666" s="99">
        <f>$Q$28</f>
        <v>0</v>
      </c>
      <c r="R666" s="163">
        <f>$R$28</f>
        <v>0.01</v>
      </c>
      <c r="S666" s="99">
        <f>$S$28</f>
        <v>70</v>
      </c>
      <c r="T666" s="99">
        <f>$T$28</f>
        <v>64.711</v>
      </c>
      <c r="U666" s="99">
        <f>$U$28</f>
        <v>2</v>
      </c>
      <c r="V666" s="37">
        <f>P666*E666</f>
        <v>1866.10515</v>
      </c>
      <c r="W666" s="139"/>
      <c r="X666" s="139"/>
      <c r="Y666" s="139"/>
      <c r="Z666" s="139"/>
      <c r="AA666" s="139"/>
      <c r="AB666" s="139"/>
      <c r="AC666" s="139"/>
      <c r="AD666" s="139"/>
      <c r="AE666" s="139"/>
      <c r="AF666" s="140"/>
      <c r="AG666" s="140"/>
      <c r="AH666" s="140"/>
      <c r="AI666" s="140"/>
      <c r="AJ666" s="140"/>
      <c r="AK666" s="140"/>
      <c r="AL666" s="140"/>
      <c r="AM666" s="140"/>
      <c r="AN666" s="140"/>
      <c r="AO666" s="140"/>
      <c r="AP666" s="140"/>
      <c r="AQ666" s="140"/>
      <c r="AR666" s="140"/>
      <c r="AS666" s="140"/>
      <c r="AT666" s="140"/>
      <c r="AU666" s="140"/>
      <c r="AV666" s="140"/>
      <c r="AW666" s="140"/>
      <c r="AX666" s="140"/>
      <c r="AY666" s="140"/>
      <c r="AZ666" s="140"/>
      <c r="BA666" s="140"/>
      <c r="BB666" s="140"/>
      <c r="BC666" s="140"/>
      <c r="BD666" s="140"/>
      <c r="BE666" s="140"/>
    </row>
    <row r="667" s="119" customFormat="1" ht="72" customHeight="1" outlineLevel="2" spans="1:57">
      <c r="A667" s="162">
        <f>1+N(A666)</f>
        <v>2</v>
      </c>
      <c r="B667" s="14" t="s">
        <v>104</v>
      </c>
      <c r="C667" s="15" t="s">
        <v>105</v>
      </c>
      <c r="D667" s="142" t="s">
        <v>70</v>
      </c>
      <c r="E667" s="143">
        <v>10.36</v>
      </c>
      <c r="F667" s="143">
        <f>$F$29</f>
        <v>50</v>
      </c>
      <c r="G667" s="143">
        <f>$G$29</f>
        <v>0</v>
      </c>
      <c r="H667" s="143">
        <f>$H$29</f>
        <v>22.0941</v>
      </c>
      <c r="I667" s="17">
        <f>(F667+G667+H667)*$I$3</f>
        <v>7.20941</v>
      </c>
      <c r="J667" s="18">
        <f>ROUND(SUM(F667:I667),2)</f>
        <v>79.3</v>
      </c>
      <c r="K667" s="19">
        <f>ROUND(J667*E667,2)</f>
        <v>821.55</v>
      </c>
      <c r="L667" s="178"/>
      <c r="M667" s="139">
        <v>1</v>
      </c>
      <c r="N667" s="139">
        <v>746.85</v>
      </c>
      <c r="O667" s="139"/>
      <c r="P667" s="37">
        <f>Q667+Q667*R667+S667+T667+U667</f>
        <v>72.0941</v>
      </c>
      <c r="Q667" s="99">
        <f>$Q$29</f>
        <v>0</v>
      </c>
      <c r="R667" s="163">
        <f>$R$29</f>
        <v>0.01</v>
      </c>
      <c r="S667" s="99">
        <f>$S$29</f>
        <v>50</v>
      </c>
      <c r="T667" s="99">
        <f>$T$29</f>
        <v>22.0941</v>
      </c>
      <c r="U667" s="99">
        <f>$U$29</f>
        <v>0</v>
      </c>
      <c r="V667" s="37">
        <f>P667*E667</f>
        <v>746.894876</v>
      </c>
      <c r="W667" s="139"/>
      <c r="X667" s="139"/>
      <c r="Y667" s="139"/>
      <c r="Z667" s="139"/>
      <c r="AA667" s="139"/>
      <c r="AB667" s="139"/>
      <c r="AC667" s="139"/>
      <c r="AD667" s="139"/>
      <c r="AE667" s="139"/>
      <c r="AF667" s="140"/>
      <c r="AG667" s="140"/>
      <c r="AH667" s="140"/>
      <c r="AI667" s="140"/>
      <c r="AJ667" s="140"/>
      <c r="AK667" s="140"/>
      <c r="AL667" s="140"/>
      <c r="AM667" s="140"/>
      <c r="AN667" s="140"/>
      <c r="AO667" s="140"/>
      <c r="AP667" s="140"/>
      <c r="AQ667" s="140"/>
      <c r="AR667" s="140"/>
      <c r="AS667" s="140"/>
      <c r="AT667" s="140"/>
      <c r="AU667" s="140"/>
      <c r="AV667" s="140"/>
      <c r="AW667" s="140"/>
      <c r="AX667" s="140"/>
      <c r="AY667" s="140"/>
      <c r="AZ667" s="140"/>
      <c r="BA667" s="140"/>
      <c r="BB667" s="140"/>
      <c r="BC667" s="140"/>
      <c r="BD667" s="140"/>
      <c r="BE667" s="140"/>
    </row>
    <row r="668" s="119" customFormat="1" ht="72" customHeight="1" outlineLevel="2" spans="1:57">
      <c r="A668" s="162">
        <f>1+N(A667)</f>
        <v>3</v>
      </c>
      <c r="B668" s="14" t="s">
        <v>106</v>
      </c>
      <c r="C668" s="15" t="s">
        <v>107</v>
      </c>
      <c r="D668" s="142" t="s">
        <v>70</v>
      </c>
      <c r="E668" s="143">
        <v>10.36</v>
      </c>
      <c r="F668" s="143">
        <f>$F$30</f>
        <v>18</v>
      </c>
      <c r="G668" s="143">
        <f>$G$30</f>
        <v>163.255</v>
      </c>
      <c r="H668" s="143">
        <f>$H$30</f>
        <v>3.8</v>
      </c>
      <c r="I668" s="17">
        <f>(F668+G668+H668)*$I$3</f>
        <v>18.5055</v>
      </c>
      <c r="J668" s="18">
        <f>ROUND(SUM(F668:I668),2)</f>
        <v>203.56</v>
      </c>
      <c r="K668" s="19">
        <f>ROUND(J668*E668,2)</f>
        <v>2108.88</v>
      </c>
      <c r="L668" s="178"/>
      <c r="M668" s="139">
        <v>1</v>
      </c>
      <c r="N668" s="139">
        <v>1917.22</v>
      </c>
      <c r="O668" s="139"/>
      <c r="P668" s="37">
        <f>Q668+Q668*R668+S668+T668+U668</f>
        <v>185.055</v>
      </c>
      <c r="Q668" s="99">
        <f>$Q$30</f>
        <v>158.5</v>
      </c>
      <c r="R668" s="163">
        <f>$R$30</f>
        <v>0.03</v>
      </c>
      <c r="S668" s="99">
        <f>$S$30</f>
        <v>18</v>
      </c>
      <c r="T668" s="99">
        <f>$T$30</f>
        <v>3.5</v>
      </c>
      <c r="U668" s="99">
        <f>$U$30</f>
        <v>0.3</v>
      </c>
      <c r="V668" s="37">
        <f>P668*E668</f>
        <v>1917.1698</v>
      </c>
      <c r="W668" s="139"/>
      <c r="X668" s="139"/>
      <c r="Y668" s="139"/>
      <c r="Z668" s="139"/>
      <c r="AA668" s="139"/>
      <c r="AB668" s="139"/>
      <c r="AC668" s="139"/>
      <c r="AD668" s="139"/>
      <c r="AE668" s="139"/>
      <c r="AF668" s="140"/>
      <c r="AG668" s="140"/>
      <c r="AH668" s="140"/>
      <c r="AI668" s="140"/>
      <c r="AJ668" s="140"/>
      <c r="AK668" s="140"/>
      <c r="AL668" s="140"/>
      <c r="AM668" s="140"/>
      <c r="AN668" s="140"/>
      <c r="AO668" s="140"/>
      <c r="AP668" s="140"/>
      <c r="AQ668" s="140"/>
      <c r="AR668" s="140"/>
      <c r="AS668" s="140"/>
      <c r="AT668" s="140"/>
      <c r="AU668" s="140"/>
      <c r="AV668" s="140"/>
      <c r="AW668" s="140"/>
      <c r="AX668" s="140"/>
      <c r="AY668" s="140"/>
      <c r="AZ668" s="140"/>
      <c r="BA668" s="140"/>
      <c r="BB668" s="140"/>
      <c r="BC668" s="140"/>
      <c r="BD668" s="140"/>
      <c r="BE668" s="140"/>
    </row>
    <row r="669" s="119" customFormat="1" ht="72" customHeight="1" outlineLevel="2" spans="1:57">
      <c r="A669" s="162">
        <f>1+N(A668)</f>
        <v>4</v>
      </c>
      <c r="B669" s="14" t="s">
        <v>108</v>
      </c>
      <c r="C669" s="15" t="s">
        <v>109</v>
      </c>
      <c r="D669" s="142" t="s">
        <v>70</v>
      </c>
      <c r="E669" s="143">
        <f>1.2*2*1</f>
        <v>2.4</v>
      </c>
      <c r="F669" s="143">
        <f>$F$31</f>
        <v>30</v>
      </c>
      <c r="G669" s="143">
        <f>$G$31</f>
        <v>65.6625</v>
      </c>
      <c r="H669" s="143">
        <f>$H$31</f>
        <v>2.7</v>
      </c>
      <c r="I669" s="17">
        <f>(F669+G669+H669)*$I$3</f>
        <v>9.83625</v>
      </c>
      <c r="J669" s="18">
        <f>ROUND(SUM(F669:I669),2)</f>
        <v>108.2</v>
      </c>
      <c r="K669" s="19">
        <f>ROUND(J669*E669,2)</f>
        <v>259.68</v>
      </c>
      <c r="L669" s="178"/>
      <c r="M669" s="139">
        <v>1</v>
      </c>
      <c r="N669" s="139">
        <v>236.06</v>
      </c>
      <c r="O669" s="139"/>
      <c r="P669" s="37">
        <f>Q669+Q669*R669+S669+T669+U669</f>
        <v>98.3625</v>
      </c>
      <c r="Q669" s="99">
        <f>$Q$31</f>
        <v>63.75</v>
      </c>
      <c r="R669" s="163">
        <f>$R$31</f>
        <v>0.03</v>
      </c>
      <c r="S669" s="99">
        <f>$S$31</f>
        <v>30</v>
      </c>
      <c r="T669" s="99">
        <f>$T$31</f>
        <v>2.5</v>
      </c>
      <c r="U669" s="99">
        <f>$U$31</f>
        <v>0.2</v>
      </c>
      <c r="V669" s="37">
        <f>P669*E669</f>
        <v>236.07</v>
      </c>
      <c r="W669" s="139"/>
      <c r="X669" s="139"/>
      <c r="Y669" s="139"/>
      <c r="Z669" s="139"/>
      <c r="AA669" s="139"/>
      <c r="AB669" s="139"/>
      <c r="AC669" s="139"/>
      <c r="AD669" s="139"/>
      <c r="AE669" s="139"/>
      <c r="AF669" s="140"/>
      <c r="AG669" s="140"/>
      <c r="AH669" s="140"/>
      <c r="AI669" s="140"/>
      <c r="AJ669" s="140"/>
      <c r="AK669" s="140"/>
      <c r="AL669" s="140"/>
      <c r="AM669" s="140"/>
      <c r="AN669" s="140"/>
      <c r="AO669" s="140"/>
      <c r="AP669" s="140"/>
      <c r="AQ669" s="140"/>
      <c r="AR669" s="140"/>
      <c r="AS669" s="140"/>
      <c r="AT669" s="140"/>
      <c r="AU669" s="140"/>
      <c r="AV669" s="140"/>
      <c r="AW669" s="140"/>
      <c r="AX669" s="140"/>
      <c r="AY669" s="140"/>
      <c r="AZ669" s="140"/>
      <c r="BA669" s="140"/>
      <c r="BB669" s="140"/>
      <c r="BC669" s="140"/>
      <c r="BD669" s="140"/>
      <c r="BE669" s="140"/>
    </row>
    <row r="670" s="119" customFormat="1" ht="72" customHeight="1" outlineLevel="2" spans="1:57">
      <c r="A670" s="162">
        <f>1+N(A669)</f>
        <v>5</v>
      </c>
      <c r="B670" s="14" t="s">
        <v>110</v>
      </c>
      <c r="C670" s="15" t="s">
        <v>111</v>
      </c>
      <c r="D670" s="142" t="s">
        <v>63</v>
      </c>
      <c r="E670" s="143">
        <f>13.65+10.36*0.3</f>
        <v>16.758</v>
      </c>
      <c r="F670" s="143">
        <f>$F$32</f>
        <v>45</v>
      </c>
      <c r="G670" s="143">
        <f>$G$32</f>
        <v>85.5</v>
      </c>
      <c r="H670" s="143">
        <f>$H$32</f>
        <v>7.3</v>
      </c>
      <c r="I670" s="17">
        <f>(F670+G670+H670)*$I$3</f>
        <v>13.78</v>
      </c>
      <c r="J670" s="18">
        <f>ROUND(SUM(F670:I670),2)</f>
        <v>151.58</v>
      </c>
      <c r="K670" s="19">
        <f>ROUND(J670*E670,2)</f>
        <v>2540.18</v>
      </c>
      <c r="L670" s="178"/>
      <c r="M670" s="139">
        <v>1</v>
      </c>
      <c r="N670" s="139">
        <v>2309.25</v>
      </c>
      <c r="O670" s="139"/>
      <c r="P670" s="37">
        <f>Q670+Q670*R670+S670+T670+U670</f>
        <v>137.8</v>
      </c>
      <c r="Q670" s="99">
        <f>$Q$32</f>
        <v>85.5</v>
      </c>
      <c r="R670" s="163">
        <f>$R$32</f>
        <v>0</v>
      </c>
      <c r="S670" s="99">
        <f>$S$32</f>
        <v>45</v>
      </c>
      <c r="T670" s="99">
        <f>$T$32</f>
        <v>6.5</v>
      </c>
      <c r="U670" s="99">
        <f>$U$32</f>
        <v>0.8</v>
      </c>
      <c r="V670" s="37">
        <f>P670*E670</f>
        <v>2309.2524</v>
      </c>
      <c r="W670" s="139"/>
      <c r="X670" s="139"/>
      <c r="Y670" s="139"/>
      <c r="Z670" s="139"/>
      <c r="AA670" s="139"/>
      <c r="AB670" s="139"/>
      <c r="AC670" s="139"/>
      <c r="AD670" s="139"/>
      <c r="AE670" s="139"/>
      <c r="AF670" s="140"/>
      <c r="AG670" s="140"/>
      <c r="AH670" s="140"/>
      <c r="AI670" s="140"/>
      <c r="AJ670" s="140"/>
      <c r="AK670" s="140"/>
      <c r="AL670" s="140"/>
      <c r="AM670" s="140"/>
      <c r="AN670" s="140"/>
      <c r="AO670" s="140"/>
      <c r="AP670" s="140"/>
      <c r="AQ670" s="140"/>
      <c r="AR670" s="140"/>
      <c r="AS670" s="140"/>
      <c r="AT670" s="140"/>
      <c r="AU670" s="140"/>
      <c r="AV670" s="140"/>
      <c r="AW670" s="140"/>
      <c r="AX670" s="140"/>
      <c r="AY670" s="140"/>
      <c r="AZ670" s="140"/>
      <c r="BA670" s="140"/>
      <c r="BB670" s="140"/>
      <c r="BC670" s="140"/>
      <c r="BD670" s="140"/>
      <c r="BE670" s="140"/>
    </row>
    <row r="671" s="119" customFormat="1" ht="24" customHeight="1" outlineLevel="1" spans="1:57">
      <c r="A671" s="141"/>
      <c r="B671" s="14" t="s">
        <v>112</v>
      </c>
      <c r="C671" s="15"/>
      <c r="D671" s="142"/>
      <c r="E671" s="143"/>
      <c r="F671" s="143"/>
      <c r="G671" s="143"/>
      <c r="H671" s="143"/>
      <c r="I671" s="143"/>
      <c r="J671" s="143"/>
      <c r="K671" s="144"/>
      <c r="L671" s="178"/>
      <c r="M671" s="139"/>
      <c r="N671" s="139"/>
      <c r="O671" s="139"/>
      <c r="P671" s="137"/>
      <c r="Q671" s="137"/>
      <c r="R671" s="138"/>
      <c r="S671" s="137"/>
      <c r="T671" s="137"/>
      <c r="U671" s="137"/>
      <c r="V671" s="137"/>
      <c r="W671" s="139"/>
      <c r="X671" s="139"/>
      <c r="Y671" s="139"/>
      <c r="Z671" s="139"/>
      <c r="AA671" s="139"/>
      <c r="AB671" s="139"/>
      <c r="AC671" s="139"/>
      <c r="AD671" s="139"/>
      <c r="AE671" s="139"/>
      <c r="AF671" s="140"/>
      <c r="AG671" s="140"/>
      <c r="AH671" s="140"/>
      <c r="AI671" s="140"/>
      <c r="AJ671" s="140"/>
      <c r="AK671" s="140"/>
      <c r="AL671" s="140"/>
      <c r="AM671" s="140"/>
      <c r="AN671" s="140"/>
      <c r="AO671" s="140"/>
      <c r="AP671" s="140"/>
      <c r="AQ671" s="140"/>
      <c r="AR671" s="140"/>
      <c r="AS671" s="140"/>
      <c r="AT671" s="140"/>
      <c r="AU671" s="140"/>
      <c r="AV671" s="140"/>
      <c r="AW671" s="140"/>
      <c r="AX671" s="140"/>
      <c r="AY671" s="140"/>
      <c r="AZ671" s="140"/>
      <c r="BA671" s="140"/>
      <c r="BB671" s="140"/>
      <c r="BC671" s="140"/>
      <c r="BD671" s="140"/>
      <c r="BE671" s="140"/>
    </row>
    <row r="672" s="119" customFormat="1" ht="60" customHeight="1" outlineLevel="2" spans="1:57">
      <c r="A672" s="145">
        <f>1+N(A671)</f>
        <v>1</v>
      </c>
      <c r="B672" s="146" t="s">
        <v>341</v>
      </c>
      <c r="C672" s="147" t="s">
        <v>330</v>
      </c>
      <c r="D672" s="148" t="s">
        <v>63</v>
      </c>
      <c r="E672" s="149">
        <f>3.2*1.86</f>
        <v>5.952</v>
      </c>
      <c r="F672" s="149">
        <f>S672*$S$1</f>
        <v>145</v>
      </c>
      <c r="G672" s="149">
        <f>Q672*(1+R672)*$Q$1</f>
        <v>2150</v>
      </c>
      <c r="H672" s="149">
        <f>(T672+U672)*$T$1</f>
        <v>31.5</v>
      </c>
      <c r="I672" s="150">
        <f>(F672+G672+H672)*$I$3</f>
        <v>232.65</v>
      </c>
      <c r="J672" s="151">
        <f>ROUND(SUM(F672:I672),2)</f>
        <v>2559.15</v>
      </c>
      <c r="K672" s="152">
        <f>ROUND(J672*E672,2)</f>
        <v>15232.06</v>
      </c>
      <c r="L672" s="178"/>
      <c r="M672" s="139">
        <v>1</v>
      </c>
      <c r="N672" s="139">
        <v>13847.33</v>
      </c>
      <c r="O672" s="139"/>
      <c r="P672" s="37">
        <f>Q672+Q672*R672+S672+T672+U672</f>
        <v>2326.5</v>
      </c>
      <c r="Q672" s="71">
        <v>2150</v>
      </c>
      <c r="R672" s="157">
        <v>0</v>
      </c>
      <c r="S672" s="71">
        <v>145</v>
      </c>
      <c r="T672" s="71">
        <v>30</v>
      </c>
      <c r="U672" s="71">
        <v>1.5</v>
      </c>
      <c r="V672" s="37">
        <f>P672*E672</f>
        <v>13847.328</v>
      </c>
      <c r="W672" s="139"/>
      <c r="X672" s="139"/>
      <c r="Y672" s="139"/>
      <c r="Z672" s="139"/>
      <c r="AA672" s="139"/>
      <c r="AB672" s="139"/>
      <c r="AC672" s="139"/>
      <c r="AD672" s="139"/>
      <c r="AE672" s="139"/>
      <c r="AF672" s="140"/>
      <c r="AG672" s="140"/>
      <c r="AH672" s="140"/>
      <c r="AI672" s="140"/>
      <c r="AJ672" s="140"/>
      <c r="AK672" s="140"/>
      <c r="AL672" s="140"/>
      <c r="AM672" s="140"/>
      <c r="AN672" s="140"/>
      <c r="AO672" s="140"/>
      <c r="AP672" s="140"/>
      <c r="AQ672" s="140"/>
      <c r="AR672" s="140"/>
      <c r="AS672" s="140"/>
      <c r="AT672" s="140"/>
      <c r="AU672" s="140"/>
      <c r="AV672" s="140"/>
      <c r="AW672" s="140"/>
      <c r="AX672" s="140"/>
      <c r="AY672" s="140"/>
      <c r="AZ672" s="140"/>
      <c r="BA672" s="140"/>
      <c r="BB672" s="140"/>
      <c r="BC672" s="140"/>
      <c r="BD672" s="140"/>
      <c r="BE672" s="140"/>
    </row>
    <row r="673" s="119" customFormat="1" ht="36" customHeight="1" outlineLevel="2" spans="1:57">
      <c r="A673" s="162">
        <f>1+N(A672)</f>
        <v>2</v>
      </c>
      <c r="B673" s="14" t="s">
        <v>125</v>
      </c>
      <c r="C673" s="15" t="s">
        <v>114</v>
      </c>
      <c r="D673" s="142" t="s">
        <v>63</v>
      </c>
      <c r="E673" s="143">
        <f>0.75*3.4</f>
        <v>2.55</v>
      </c>
      <c r="F673" s="143">
        <f>$F$59</f>
        <v>165</v>
      </c>
      <c r="G673" s="143">
        <f>$G$59</f>
        <v>85</v>
      </c>
      <c r="H673" s="143">
        <f>$H$59</f>
        <v>355.1744</v>
      </c>
      <c r="I673" s="17">
        <f>(F673+G673+H673)*$I$3</f>
        <v>60.51744</v>
      </c>
      <c r="J673" s="18">
        <f>ROUND(SUM(F673:I673),2)</f>
        <v>665.69</v>
      </c>
      <c r="K673" s="19">
        <f>ROUND(J673*E673,2)</f>
        <v>1697.51</v>
      </c>
      <c r="L673" s="178"/>
      <c r="M673" s="139">
        <v>1</v>
      </c>
      <c r="N673" s="139">
        <v>1543.18</v>
      </c>
      <c r="O673" s="139"/>
      <c r="P673" s="37">
        <f>Q673+Q673*R673+S673+T673+U673</f>
        <v>605.1744</v>
      </c>
      <c r="Q673" s="99">
        <f>$Q$59</f>
        <v>85</v>
      </c>
      <c r="R673" s="163">
        <f>$R$59</f>
        <v>0</v>
      </c>
      <c r="S673" s="99">
        <f>$S$59</f>
        <v>165</v>
      </c>
      <c r="T673" s="99">
        <f>$T$59</f>
        <v>353.6744</v>
      </c>
      <c r="U673" s="99">
        <f>$U$59</f>
        <v>1.5</v>
      </c>
      <c r="V673" s="37">
        <f>P673*E673</f>
        <v>1543.19472</v>
      </c>
      <c r="W673" s="139"/>
      <c r="X673" s="139"/>
      <c r="Y673" s="139"/>
      <c r="Z673" s="139"/>
      <c r="AA673" s="139"/>
      <c r="AB673" s="139"/>
      <c r="AC673" s="139"/>
      <c r="AD673" s="139"/>
      <c r="AE673" s="139"/>
      <c r="AF673" s="140"/>
      <c r="AG673" s="140"/>
      <c r="AH673" s="140"/>
      <c r="AI673" s="140"/>
      <c r="AJ673" s="140"/>
      <c r="AK673" s="140"/>
      <c r="AL673" s="140"/>
      <c r="AM673" s="140"/>
      <c r="AN673" s="140"/>
      <c r="AO673" s="140"/>
      <c r="AP673" s="140"/>
      <c r="AQ673" s="140"/>
      <c r="AR673" s="140"/>
      <c r="AS673" s="140"/>
      <c r="AT673" s="140"/>
      <c r="AU673" s="140"/>
      <c r="AV673" s="140"/>
      <c r="AW673" s="140"/>
      <c r="AX673" s="140"/>
      <c r="AY673" s="140"/>
      <c r="AZ673" s="140"/>
      <c r="BA673" s="140"/>
      <c r="BB673" s="140"/>
      <c r="BC673" s="140"/>
      <c r="BD673" s="140"/>
      <c r="BE673" s="140"/>
    </row>
    <row r="674" s="119" customFormat="1" ht="24" customHeight="1" outlineLevel="1" spans="1:57">
      <c r="A674" s="132" t="s">
        <v>342</v>
      </c>
      <c r="B674" s="8" t="s">
        <v>343</v>
      </c>
      <c r="C674" s="180"/>
      <c r="D674" s="133"/>
      <c r="E674" s="134"/>
      <c r="F674" s="134"/>
      <c r="G674" s="134"/>
      <c r="H674" s="134"/>
      <c r="I674" s="134"/>
      <c r="J674" s="134"/>
      <c r="K674" s="11"/>
      <c r="L674" s="178"/>
      <c r="M674" s="139"/>
      <c r="N674" s="139"/>
      <c r="O674" s="139" t="str">
        <f>_xlfn.DISPIMG("ID_299CC4902CCF459F91D60AB2E50B5CB9",1)</f>
        <v>=DISPIMG("ID_299CC4902CCF459F91D60AB2E50B5CB9",1)</v>
      </c>
      <c r="P674" s="137"/>
      <c r="Q674" s="137"/>
      <c r="R674" s="138"/>
      <c r="S674" s="137"/>
      <c r="T674" s="137"/>
      <c r="U674" s="137"/>
      <c r="V674" s="137"/>
      <c r="W674" s="139"/>
      <c r="X674" s="139"/>
      <c r="Y674" s="139"/>
      <c r="Z674" s="139"/>
      <c r="AA674" s="139"/>
      <c r="AB674" s="139"/>
      <c r="AC674" s="139"/>
      <c r="AD674" s="139"/>
      <c r="AE674" s="139"/>
      <c r="AF674" s="140"/>
      <c r="AG674" s="140"/>
      <c r="AH674" s="140"/>
      <c r="AI674" s="140"/>
      <c r="AJ674" s="140"/>
      <c r="AK674" s="140"/>
      <c r="AL674" s="140"/>
      <c r="AM674" s="140"/>
      <c r="AN674" s="140"/>
      <c r="AO674" s="140"/>
      <c r="AP674" s="140"/>
      <c r="AQ674" s="140"/>
      <c r="AR674" s="140"/>
      <c r="AS674" s="140"/>
      <c r="AT674" s="140"/>
      <c r="AU674" s="140"/>
      <c r="AV674" s="140"/>
      <c r="AW674" s="140"/>
      <c r="AX674" s="140"/>
      <c r="AY674" s="140"/>
      <c r="AZ674" s="140"/>
      <c r="BA674" s="140"/>
      <c r="BB674" s="140"/>
      <c r="BC674" s="140"/>
      <c r="BD674" s="140"/>
      <c r="BE674" s="140"/>
    </row>
    <row r="675" s="119" customFormat="1" ht="24" customHeight="1" outlineLevel="1" spans="1:57">
      <c r="A675" s="141"/>
      <c r="B675" s="14" t="s">
        <v>60</v>
      </c>
      <c r="C675" s="15"/>
      <c r="D675" s="142"/>
      <c r="E675" s="143"/>
      <c r="F675" s="143"/>
      <c r="G675" s="143"/>
      <c r="H675" s="143"/>
      <c r="I675" s="143"/>
      <c r="J675" s="143"/>
      <c r="K675" s="144"/>
      <c r="L675" s="178"/>
      <c r="M675" s="139"/>
      <c r="N675" s="139"/>
      <c r="O675" s="139"/>
      <c r="P675" s="137"/>
      <c r="Q675" s="137"/>
      <c r="R675" s="138"/>
      <c r="S675" s="137"/>
      <c r="T675" s="137"/>
      <c r="U675" s="137"/>
      <c r="V675" s="137"/>
      <c r="W675" s="139"/>
      <c r="X675" s="139"/>
      <c r="Y675" s="139"/>
      <c r="Z675" s="139"/>
      <c r="AA675" s="139"/>
      <c r="AB675" s="139"/>
      <c r="AC675" s="139"/>
      <c r="AD675" s="139"/>
      <c r="AE675" s="139"/>
      <c r="AF675" s="140"/>
      <c r="AG675" s="140"/>
      <c r="AH675" s="140"/>
      <c r="AI675" s="140"/>
      <c r="AJ675" s="140"/>
      <c r="AK675" s="140"/>
      <c r="AL675" s="140"/>
      <c r="AM675" s="140"/>
      <c r="AN675" s="140"/>
      <c r="AO675" s="140"/>
      <c r="AP675" s="140"/>
      <c r="AQ675" s="140"/>
      <c r="AR675" s="140"/>
      <c r="AS675" s="140"/>
      <c r="AT675" s="140"/>
      <c r="AU675" s="140"/>
      <c r="AV675" s="140"/>
      <c r="AW675" s="140"/>
      <c r="AX675" s="140"/>
      <c r="AY675" s="140"/>
      <c r="AZ675" s="140"/>
      <c r="BA675" s="140"/>
      <c r="BB675" s="140"/>
      <c r="BC675" s="140"/>
      <c r="BD675" s="140"/>
      <c r="BE675" s="140"/>
    </row>
    <row r="676" s="119" customFormat="1" ht="72" customHeight="1" outlineLevel="2" spans="1:57">
      <c r="A676" s="162">
        <f>1+N(A675)</f>
        <v>1</v>
      </c>
      <c r="B676" s="14" t="s">
        <v>325</v>
      </c>
      <c r="C676" s="15" t="s">
        <v>332</v>
      </c>
      <c r="D676" s="142" t="s">
        <v>63</v>
      </c>
      <c r="E676" s="143">
        <v>41</v>
      </c>
      <c r="F676" s="143">
        <f>$F$593</f>
        <v>36</v>
      </c>
      <c r="G676" s="143">
        <f>$G$593</f>
        <v>343.375</v>
      </c>
      <c r="H676" s="143">
        <f>$H$593</f>
        <v>17.5</v>
      </c>
      <c r="I676" s="17">
        <f>(F676+G676+H676)*$I$3</f>
        <v>39.6875</v>
      </c>
      <c r="J676" s="18">
        <f>ROUND(SUM(F676:I676),2)</f>
        <v>436.56</v>
      </c>
      <c r="K676" s="19">
        <f>ROUND(J676*E676,2)</f>
        <v>17898.96</v>
      </c>
      <c r="L676" s="178"/>
      <c r="M676" s="139">
        <v>1</v>
      </c>
      <c r="N676" s="139">
        <v>16272.08</v>
      </c>
      <c r="O676" s="139"/>
      <c r="P676" s="37">
        <f>Q676+Q676*R676+S676+T676+U676</f>
        <v>396.875</v>
      </c>
      <c r="Q676" s="99">
        <f>$Q$593</f>
        <v>335</v>
      </c>
      <c r="R676" s="163">
        <f>$R$593</f>
        <v>0.025</v>
      </c>
      <c r="S676" s="99">
        <f>$S$593</f>
        <v>36</v>
      </c>
      <c r="T676" s="99">
        <f>$T$593</f>
        <v>17.5</v>
      </c>
      <c r="U676" s="99">
        <f>$U$593</f>
        <v>0</v>
      </c>
      <c r="V676" s="37">
        <f>P676*E676</f>
        <v>16271.875</v>
      </c>
      <c r="W676" s="139"/>
      <c r="X676" s="139"/>
      <c r="Y676" s="139"/>
      <c r="Z676" s="139"/>
      <c r="AA676" s="139"/>
      <c r="AB676" s="139"/>
      <c r="AC676" s="139"/>
      <c r="AD676" s="139"/>
      <c r="AE676" s="139"/>
      <c r="AF676" s="140"/>
      <c r="AG676" s="140"/>
      <c r="AH676" s="140"/>
      <c r="AI676" s="140"/>
      <c r="AJ676" s="140"/>
      <c r="AK676" s="140"/>
      <c r="AL676" s="140"/>
      <c r="AM676" s="140"/>
      <c r="AN676" s="140"/>
      <c r="AO676" s="140"/>
      <c r="AP676" s="140"/>
      <c r="AQ676" s="140"/>
      <c r="AR676" s="140"/>
      <c r="AS676" s="140"/>
      <c r="AT676" s="140"/>
      <c r="AU676" s="140"/>
      <c r="AV676" s="140"/>
      <c r="AW676" s="140"/>
      <c r="AX676" s="140"/>
      <c r="AY676" s="140"/>
      <c r="AZ676" s="140"/>
      <c r="BA676" s="140"/>
      <c r="BB676" s="140"/>
      <c r="BC676" s="140"/>
      <c r="BD676" s="140"/>
      <c r="BE676" s="140"/>
    </row>
    <row r="677" s="119" customFormat="1" ht="60" customHeight="1" outlineLevel="2" spans="1:57">
      <c r="A677" s="162">
        <f>1+N(A676)</f>
        <v>2</v>
      </c>
      <c r="B677" s="14" t="s">
        <v>168</v>
      </c>
      <c r="C677" s="15" t="s">
        <v>198</v>
      </c>
      <c r="D677" s="142" t="s">
        <v>63</v>
      </c>
      <c r="E677" s="143">
        <v>65.1</v>
      </c>
      <c r="F677" s="143">
        <f>$F$227</f>
        <v>28</v>
      </c>
      <c r="G677" s="143">
        <f>$G$227</f>
        <v>0</v>
      </c>
      <c r="H677" s="143">
        <f>$H$227</f>
        <v>31.8</v>
      </c>
      <c r="I677" s="17">
        <f>(F677+G677+H677)*$I$3</f>
        <v>5.98</v>
      </c>
      <c r="J677" s="18">
        <f>ROUND(SUM(F677:I677),2)</f>
        <v>65.78</v>
      </c>
      <c r="K677" s="19">
        <f>ROUND(J677*E677,2)</f>
        <v>4282.28</v>
      </c>
      <c r="L677" s="178"/>
      <c r="M677" s="139">
        <v>1</v>
      </c>
      <c r="N677" s="139">
        <v>3892.98</v>
      </c>
      <c r="O677" s="139"/>
      <c r="P677" s="37">
        <f>Q677+Q677*R677+S677+T677+U677</f>
        <v>59.8</v>
      </c>
      <c r="Q677" s="99">
        <f>$Q$227</f>
        <v>0</v>
      </c>
      <c r="R677" s="163">
        <f>$R$227</f>
        <v>0</v>
      </c>
      <c r="S677" s="99">
        <f>$S$227</f>
        <v>28</v>
      </c>
      <c r="T677" s="99">
        <f>$T$227</f>
        <v>31.5</v>
      </c>
      <c r="U677" s="99">
        <f>$U$227</f>
        <v>0.3</v>
      </c>
      <c r="V677" s="37">
        <f>P677*E677</f>
        <v>3892.98</v>
      </c>
      <c r="W677" s="139"/>
      <c r="X677" s="139"/>
      <c r="Y677" s="139"/>
      <c r="Z677" s="139"/>
      <c r="AA677" s="139"/>
      <c r="AB677" s="139"/>
      <c r="AC677" s="139"/>
      <c r="AD677" s="139"/>
      <c r="AE677" s="139"/>
      <c r="AF677" s="140"/>
      <c r="AG677" s="140"/>
      <c r="AH677" s="140"/>
      <c r="AI677" s="140"/>
      <c r="AJ677" s="140"/>
      <c r="AK677" s="140"/>
      <c r="AL677" s="140"/>
      <c r="AM677" s="140"/>
      <c r="AN677" s="140"/>
      <c r="AO677" s="140"/>
      <c r="AP677" s="140"/>
      <c r="AQ677" s="140"/>
      <c r="AR677" s="140"/>
      <c r="AS677" s="140"/>
      <c r="AT677" s="140"/>
      <c r="AU677" s="140"/>
      <c r="AV677" s="140"/>
      <c r="AW677" s="140"/>
      <c r="AX677" s="140"/>
      <c r="AY677" s="140"/>
      <c r="AZ677" s="140"/>
      <c r="BA677" s="140"/>
      <c r="BB677" s="140"/>
      <c r="BC677" s="140"/>
      <c r="BD677" s="140"/>
      <c r="BE677" s="140"/>
    </row>
    <row r="678" s="119" customFormat="1" ht="36" customHeight="1" outlineLevel="2" spans="1:57">
      <c r="A678" s="162">
        <f>1+N(A677)</f>
        <v>3</v>
      </c>
      <c r="B678" s="14" t="s">
        <v>68</v>
      </c>
      <c r="C678" s="15" t="s">
        <v>69</v>
      </c>
      <c r="D678" s="142" t="s">
        <v>70</v>
      </c>
      <c r="E678" s="143">
        <v>48.4</v>
      </c>
      <c r="F678" s="143">
        <f>$F$10</f>
        <v>12</v>
      </c>
      <c r="G678" s="143">
        <f>$G$10</f>
        <v>19.57</v>
      </c>
      <c r="H678" s="143">
        <f>$H$10</f>
        <v>0.5</v>
      </c>
      <c r="I678" s="17">
        <f>(F678+G678+H678)*$I$3</f>
        <v>3.207</v>
      </c>
      <c r="J678" s="18">
        <f>ROUND(SUM(F678:I678),2)</f>
        <v>35.28</v>
      </c>
      <c r="K678" s="19">
        <f>ROUND(J678*E678,2)</f>
        <v>1707.55</v>
      </c>
      <c r="L678" s="178"/>
      <c r="M678" s="139">
        <v>1</v>
      </c>
      <c r="N678" s="139">
        <v>1552.19</v>
      </c>
      <c r="O678" s="139"/>
      <c r="P678" s="37">
        <f>Q678+Q678*R678+S678+T678+U678</f>
        <v>32.07</v>
      </c>
      <c r="Q678" s="99">
        <f>$Q$10</f>
        <v>19</v>
      </c>
      <c r="R678" s="163">
        <f>$R$10</f>
        <v>0.03</v>
      </c>
      <c r="S678" s="99">
        <f>$S$10</f>
        <v>12</v>
      </c>
      <c r="T678" s="99">
        <f>$T$10</f>
        <v>0.3</v>
      </c>
      <c r="U678" s="99">
        <f>$U$10</f>
        <v>0.2</v>
      </c>
      <c r="V678" s="37">
        <f>P678*E678</f>
        <v>1552.188</v>
      </c>
      <c r="W678" s="139"/>
      <c r="X678" s="139"/>
      <c r="Y678" s="139"/>
      <c r="Z678" s="139"/>
      <c r="AA678" s="139"/>
      <c r="AB678" s="139"/>
      <c r="AC678" s="139"/>
      <c r="AD678" s="139"/>
      <c r="AE678" s="139"/>
      <c r="AF678" s="140"/>
      <c r="AG678" s="140"/>
      <c r="AH678" s="140"/>
      <c r="AI678" s="140"/>
      <c r="AJ678" s="140"/>
      <c r="AK678" s="140"/>
      <c r="AL678" s="140"/>
      <c r="AM678" s="140"/>
      <c r="AN678" s="140"/>
      <c r="AO678" s="140"/>
      <c r="AP678" s="140"/>
      <c r="AQ678" s="140"/>
      <c r="AR678" s="140"/>
      <c r="AS678" s="140"/>
      <c r="AT678" s="140"/>
      <c r="AU678" s="140"/>
      <c r="AV678" s="140"/>
      <c r="AW678" s="140"/>
      <c r="AX678" s="140"/>
      <c r="AY678" s="140"/>
      <c r="AZ678" s="140"/>
      <c r="BA678" s="140"/>
      <c r="BB678" s="140"/>
      <c r="BC678" s="140"/>
      <c r="BD678" s="140"/>
      <c r="BE678" s="140"/>
    </row>
    <row r="679" s="119" customFormat="1" ht="24" customHeight="1" outlineLevel="1" spans="1:57">
      <c r="A679" s="141"/>
      <c r="B679" s="14" t="s">
        <v>73</v>
      </c>
      <c r="C679" s="15"/>
      <c r="D679" s="142"/>
      <c r="E679" s="143"/>
      <c r="F679" s="143"/>
      <c r="G679" s="143"/>
      <c r="H679" s="143"/>
      <c r="I679" s="143"/>
      <c r="J679" s="143"/>
      <c r="K679" s="144"/>
      <c r="L679" s="178"/>
      <c r="M679" s="139"/>
      <c r="N679" s="139"/>
      <c r="O679" s="139"/>
      <c r="P679" s="137"/>
      <c r="Q679" s="137"/>
      <c r="R679" s="138"/>
      <c r="S679" s="137"/>
      <c r="T679" s="137"/>
      <c r="U679" s="137"/>
      <c r="V679" s="137"/>
      <c r="W679" s="139"/>
      <c r="X679" s="139"/>
      <c r="Y679" s="139"/>
      <c r="Z679" s="139"/>
      <c r="AA679" s="139"/>
      <c r="AB679" s="139"/>
      <c r="AC679" s="139"/>
      <c r="AD679" s="139"/>
      <c r="AE679" s="139"/>
      <c r="AF679" s="140"/>
      <c r="AG679" s="140"/>
      <c r="AH679" s="140"/>
      <c r="AI679" s="140"/>
      <c r="AJ679" s="140"/>
      <c r="AK679" s="140"/>
      <c r="AL679" s="140"/>
      <c r="AM679" s="140"/>
      <c r="AN679" s="140"/>
      <c r="AO679" s="140"/>
      <c r="AP679" s="140"/>
      <c r="AQ679" s="140"/>
      <c r="AR679" s="140"/>
      <c r="AS679" s="140"/>
      <c r="AT679" s="140"/>
      <c r="AU679" s="140"/>
      <c r="AV679" s="140"/>
      <c r="AW679" s="140"/>
      <c r="AX679" s="140"/>
      <c r="AY679" s="140"/>
      <c r="AZ679" s="140"/>
      <c r="BA679" s="140"/>
      <c r="BB679" s="140"/>
      <c r="BC679" s="140"/>
      <c r="BD679" s="140"/>
      <c r="BE679" s="140"/>
    </row>
    <row r="680" s="119" customFormat="1" ht="96" customHeight="1" outlineLevel="2" spans="1:57">
      <c r="A680" s="145">
        <f t="shared" ref="A680:A687" si="189">1+N(A679)</f>
        <v>1</v>
      </c>
      <c r="B680" s="158" t="s">
        <v>344</v>
      </c>
      <c r="C680" s="147" t="s">
        <v>345</v>
      </c>
      <c r="D680" s="148" t="s">
        <v>63</v>
      </c>
      <c r="E680" s="149">
        <v>19.687</v>
      </c>
      <c r="F680" s="149">
        <f>S680*$S$1</f>
        <v>150</v>
      </c>
      <c r="G680" s="149">
        <f>Q680*(1+R680)*$Q$1</f>
        <v>394.275</v>
      </c>
      <c r="H680" s="149">
        <f>(T680+U680)*$T$1</f>
        <v>113.55</v>
      </c>
      <c r="I680" s="150">
        <f t="shared" ref="I680:I687" si="190">(F680+G680+H680)*$I$3</f>
        <v>65.7825</v>
      </c>
      <c r="J680" s="151">
        <f t="shared" ref="J680:J687" si="191">ROUND(SUM(F680:I680),2)</f>
        <v>723.61</v>
      </c>
      <c r="K680" s="152">
        <f t="shared" ref="K680:K687" si="192">ROUND(J680*E680,2)</f>
        <v>14245.71</v>
      </c>
      <c r="L680" s="178"/>
      <c r="M680" s="139">
        <v>1</v>
      </c>
      <c r="N680" s="139">
        <v>12950.7</v>
      </c>
      <c r="O680" s="139"/>
      <c r="P680" s="37">
        <f t="shared" ref="P680:P687" si="193">Q680+Q680*R680+S680+T680+U680</f>
        <v>657.825</v>
      </c>
      <c r="Q680" s="71">
        <v>375.5</v>
      </c>
      <c r="R680" s="157">
        <v>0.05</v>
      </c>
      <c r="S680" s="71">
        <v>150</v>
      </c>
      <c r="T680" s="71">
        <v>111.75</v>
      </c>
      <c r="U680" s="71">
        <v>1.8</v>
      </c>
      <c r="V680" s="37">
        <f t="shared" ref="V680:V687" si="194">P680*E680</f>
        <v>12950.600775</v>
      </c>
      <c r="W680" s="139"/>
      <c r="X680" s="139"/>
      <c r="Y680" s="139"/>
      <c r="Z680" s="139"/>
      <c r="AA680" s="139"/>
      <c r="AB680" s="139"/>
      <c r="AC680" s="139"/>
      <c r="AD680" s="139"/>
      <c r="AE680" s="139"/>
      <c r="AF680" s="140"/>
      <c r="AG680" s="140"/>
      <c r="AH680" s="140"/>
      <c r="AI680" s="140"/>
      <c r="AJ680" s="140"/>
      <c r="AK680" s="140"/>
      <c r="AL680" s="140"/>
      <c r="AM680" s="140"/>
      <c r="AN680" s="140"/>
      <c r="AO680" s="140"/>
      <c r="AP680" s="140"/>
      <c r="AQ680" s="140"/>
      <c r="AR680" s="140"/>
      <c r="AS680" s="140"/>
      <c r="AT680" s="140"/>
      <c r="AU680" s="140"/>
      <c r="AV680" s="140"/>
      <c r="AW680" s="140"/>
      <c r="AX680" s="140"/>
      <c r="AY680" s="140"/>
      <c r="AZ680" s="140"/>
      <c r="BA680" s="140"/>
      <c r="BB680" s="140"/>
      <c r="BC680" s="140"/>
      <c r="BD680" s="140"/>
      <c r="BE680" s="140"/>
    </row>
    <row r="681" s="119" customFormat="1" ht="60" customHeight="1" outlineLevel="2" spans="1:57">
      <c r="A681" s="162">
        <f t="shared" si="189"/>
        <v>2</v>
      </c>
      <c r="B681" s="14" t="s">
        <v>174</v>
      </c>
      <c r="C681" s="15" t="s">
        <v>262</v>
      </c>
      <c r="D681" s="142" t="s">
        <v>63</v>
      </c>
      <c r="E681" s="143">
        <v>13.294</v>
      </c>
      <c r="F681" s="143">
        <f>$F$463</f>
        <v>110</v>
      </c>
      <c r="G681" s="143">
        <f>$G$463</f>
        <v>87.55</v>
      </c>
      <c r="H681" s="143">
        <f>$H$463</f>
        <v>126.35</v>
      </c>
      <c r="I681" s="17">
        <f t="shared" si="190"/>
        <v>32.39</v>
      </c>
      <c r="J681" s="18">
        <f t="shared" si="191"/>
        <v>356.29</v>
      </c>
      <c r="K681" s="19">
        <f t="shared" si="192"/>
        <v>4736.52</v>
      </c>
      <c r="L681" s="178"/>
      <c r="M681" s="139">
        <v>1</v>
      </c>
      <c r="N681" s="139">
        <v>4305.93</v>
      </c>
      <c r="O681" s="139"/>
      <c r="P681" s="37">
        <f t="shared" si="193"/>
        <v>323.9</v>
      </c>
      <c r="Q681" s="99">
        <f>$Q$463</f>
        <v>85</v>
      </c>
      <c r="R681" s="163">
        <f>$R$463</f>
        <v>0.03</v>
      </c>
      <c r="S681" s="99">
        <f>$S$463</f>
        <v>110</v>
      </c>
      <c r="T681" s="99">
        <f>$T$463</f>
        <v>125.75</v>
      </c>
      <c r="U681" s="99">
        <f>$U$463</f>
        <v>0.6</v>
      </c>
      <c r="V681" s="37">
        <f t="shared" si="194"/>
        <v>4305.9266</v>
      </c>
      <c r="W681" s="139"/>
      <c r="X681" s="139"/>
      <c r="Y681" s="139"/>
      <c r="Z681" s="139"/>
      <c r="AA681" s="139"/>
      <c r="AB681" s="139"/>
      <c r="AC681" s="139"/>
      <c r="AD681" s="139"/>
      <c r="AE681" s="139"/>
      <c r="AF681" s="140"/>
      <c r="AG681" s="140"/>
      <c r="AH681" s="140"/>
      <c r="AI681" s="140"/>
      <c r="AJ681" s="140"/>
      <c r="AK681" s="140"/>
      <c r="AL681" s="140"/>
      <c r="AM681" s="140"/>
      <c r="AN681" s="140"/>
      <c r="AO681" s="140"/>
      <c r="AP681" s="140"/>
      <c r="AQ681" s="140"/>
      <c r="AR681" s="140"/>
      <c r="AS681" s="140"/>
      <c r="AT681" s="140"/>
      <c r="AU681" s="140"/>
      <c r="AV681" s="140"/>
      <c r="AW681" s="140"/>
      <c r="AX681" s="140"/>
      <c r="AY681" s="140"/>
      <c r="AZ681" s="140"/>
      <c r="BA681" s="140"/>
      <c r="BB681" s="140"/>
      <c r="BC681" s="140"/>
      <c r="BD681" s="140"/>
      <c r="BE681" s="140"/>
    </row>
    <row r="682" s="119" customFormat="1" ht="36" customHeight="1" outlineLevel="2" spans="1:57">
      <c r="A682" s="145">
        <f t="shared" si="189"/>
        <v>3</v>
      </c>
      <c r="B682" s="146" t="s">
        <v>346</v>
      </c>
      <c r="C682" s="147" t="s">
        <v>347</v>
      </c>
      <c r="D682" s="148" t="s">
        <v>63</v>
      </c>
      <c r="E682" s="149">
        <v>40.177</v>
      </c>
      <c r="F682" s="149">
        <f>S682*$S$1</f>
        <v>75</v>
      </c>
      <c r="G682" s="149">
        <f>Q682*(1+R682)*$Q$1</f>
        <v>308</v>
      </c>
      <c r="H682" s="149">
        <f>(T682+U682)*$T$1</f>
        <v>54.7</v>
      </c>
      <c r="I682" s="150">
        <f t="shared" si="190"/>
        <v>43.77</v>
      </c>
      <c r="J682" s="151">
        <f t="shared" si="191"/>
        <v>481.47</v>
      </c>
      <c r="K682" s="152">
        <f t="shared" si="192"/>
        <v>19344.02</v>
      </c>
      <c r="L682" s="178"/>
      <c r="M682" s="139">
        <v>1</v>
      </c>
      <c r="N682" s="139">
        <v>17585.47</v>
      </c>
      <c r="O682" s="139"/>
      <c r="P682" s="37">
        <f t="shared" si="193"/>
        <v>437.7</v>
      </c>
      <c r="Q682" s="71">
        <v>280</v>
      </c>
      <c r="R682" s="157">
        <v>0.1</v>
      </c>
      <c r="S682" s="71">
        <v>75</v>
      </c>
      <c r="T682" s="71">
        <v>53.5</v>
      </c>
      <c r="U682" s="71">
        <v>1.2</v>
      </c>
      <c r="V682" s="37">
        <f t="shared" si="194"/>
        <v>17585.4729</v>
      </c>
      <c r="W682" s="139"/>
      <c r="X682" s="139"/>
      <c r="Y682" s="139"/>
      <c r="Z682" s="139"/>
      <c r="AA682" s="139"/>
      <c r="AB682" s="139"/>
      <c r="AC682" s="139"/>
      <c r="AD682" s="139"/>
      <c r="AE682" s="139"/>
      <c r="AF682" s="140"/>
      <c r="AG682" s="140"/>
      <c r="AH682" s="140"/>
      <c r="AI682" s="140"/>
      <c r="AJ682" s="140"/>
      <c r="AK682" s="140"/>
      <c r="AL682" s="140"/>
      <c r="AM682" s="140"/>
      <c r="AN682" s="140"/>
      <c r="AO682" s="140"/>
      <c r="AP682" s="140"/>
      <c r="AQ682" s="140"/>
      <c r="AR682" s="140"/>
      <c r="AS682" s="140"/>
      <c r="AT682" s="140"/>
      <c r="AU682" s="140"/>
      <c r="AV682" s="140"/>
      <c r="AW682" s="140"/>
      <c r="AX682" s="140"/>
      <c r="AY682" s="140"/>
      <c r="AZ682" s="140"/>
      <c r="BA682" s="140"/>
      <c r="BB682" s="140"/>
      <c r="BC682" s="140"/>
      <c r="BD682" s="140"/>
      <c r="BE682" s="140"/>
    </row>
    <row r="683" s="119" customFormat="1" ht="36" customHeight="1" outlineLevel="2" spans="1:57">
      <c r="A683" s="145">
        <f t="shared" si="189"/>
        <v>4</v>
      </c>
      <c r="B683" s="146" t="s">
        <v>348</v>
      </c>
      <c r="C683" s="147" t="s">
        <v>349</v>
      </c>
      <c r="D683" s="148" t="s">
        <v>63</v>
      </c>
      <c r="E683" s="149">
        <v>53.763</v>
      </c>
      <c r="F683" s="149">
        <f>S683*$S$1</f>
        <v>95</v>
      </c>
      <c r="G683" s="149">
        <f>Q683*(1+R683)*$Q$1</f>
        <v>132</v>
      </c>
      <c r="H683" s="149">
        <f>(T683+U683)*$T$1</f>
        <v>54.7</v>
      </c>
      <c r="I683" s="150">
        <f t="shared" si="190"/>
        <v>28.17</v>
      </c>
      <c r="J683" s="151">
        <f t="shared" si="191"/>
        <v>309.87</v>
      </c>
      <c r="K683" s="152">
        <f t="shared" si="192"/>
        <v>16659.54</v>
      </c>
      <c r="L683" s="178"/>
      <c r="M683" s="139">
        <v>1</v>
      </c>
      <c r="N683" s="139">
        <v>15145.04</v>
      </c>
      <c r="O683" s="139"/>
      <c r="P683" s="37">
        <f t="shared" si="193"/>
        <v>281.7</v>
      </c>
      <c r="Q683" s="71">
        <v>120</v>
      </c>
      <c r="R683" s="157">
        <v>0.1</v>
      </c>
      <c r="S683" s="71">
        <v>95</v>
      </c>
      <c r="T683" s="71">
        <v>53.5</v>
      </c>
      <c r="U683" s="71">
        <v>1.2</v>
      </c>
      <c r="V683" s="37">
        <f t="shared" si="194"/>
        <v>15145.0371</v>
      </c>
      <c r="W683" s="139"/>
      <c r="X683" s="139"/>
      <c r="Y683" s="139"/>
      <c r="Z683" s="139"/>
      <c r="AA683" s="139"/>
      <c r="AB683" s="139"/>
      <c r="AC683" s="139"/>
      <c r="AD683" s="139"/>
      <c r="AE683" s="139"/>
      <c r="AF683" s="140"/>
      <c r="AG683" s="140"/>
      <c r="AH683" s="140"/>
      <c r="AI683" s="140"/>
      <c r="AJ683" s="140"/>
      <c r="AK683" s="140"/>
      <c r="AL683" s="140"/>
      <c r="AM683" s="140"/>
      <c r="AN683" s="140"/>
      <c r="AO683" s="140"/>
      <c r="AP683" s="140"/>
      <c r="AQ683" s="140"/>
      <c r="AR683" s="140"/>
      <c r="AS683" s="140"/>
      <c r="AT683" s="140"/>
      <c r="AU683" s="140"/>
      <c r="AV683" s="140"/>
      <c r="AW683" s="140"/>
      <c r="AX683" s="140"/>
      <c r="AY683" s="140"/>
      <c r="AZ683" s="140"/>
      <c r="BA683" s="140"/>
      <c r="BB683" s="140"/>
      <c r="BC683" s="140"/>
      <c r="BD683" s="140"/>
      <c r="BE683" s="140"/>
    </row>
    <row r="684" s="119" customFormat="1" ht="48" customHeight="1" outlineLevel="2" spans="1:57">
      <c r="A684" s="162">
        <f t="shared" si="189"/>
        <v>5</v>
      </c>
      <c r="B684" s="14" t="s">
        <v>82</v>
      </c>
      <c r="C684" s="15" t="s">
        <v>83</v>
      </c>
      <c r="D684" s="142" t="s">
        <v>63</v>
      </c>
      <c r="E684" s="143">
        <f>1.02*3.4*2+1.246*1.87+1.07*3.4+1.046*3.77</f>
        <v>16.84744</v>
      </c>
      <c r="F684" s="143">
        <f>$F$17</f>
        <v>110</v>
      </c>
      <c r="G684" s="143">
        <f>$G$17</f>
        <v>454.5</v>
      </c>
      <c r="H684" s="143">
        <f>$H$17</f>
        <v>55.2</v>
      </c>
      <c r="I684" s="17">
        <f t="shared" si="190"/>
        <v>61.97</v>
      </c>
      <c r="J684" s="18">
        <f t="shared" si="191"/>
        <v>681.67</v>
      </c>
      <c r="K684" s="19">
        <f t="shared" si="192"/>
        <v>11484.39</v>
      </c>
      <c r="L684" s="178"/>
      <c r="M684" s="139">
        <v>1</v>
      </c>
      <c r="N684" s="139">
        <v>10440.36</v>
      </c>
      <c r="O684" s="139"/>
      <c r="P684" s="37">
        <f t="shared" si="193"/>
        <v>619.7</v>
      </c>
      <c r="Q684" s="99">
        <f>$Q$17</f>
        <v>450</v>
      </c>
      <c r="R684" s="163">
        <f>$R$17</f>
        <v>0.01</v>
      </c>
      <c r="S684" s="99">
        <f>$S$17</f>
        <v>110</v>
      </c>
      <c r="T684" s="99">
        <f>$T$17</f>
        <v>54</v>
      </c>
      <c r="U684" s="99">
        <f>$U$17</f>
        <v>1.2</v>
      </c>
      <c r="V684" s="37">
        <f t="shared" si="194"/>
        <v>10440.358568</v>
      </c>
      <c r="W684" s="139"/>
      <c r="X684" s="139"/>
      <c r="Y684" s="139"/>
      <c r="Z684" s="139"/>
      <c r="AA684" s="139"/>
      <c r="AB684" s="139"/>
      <c r="AC684" s="139"/>
      <c r="AD684" s="139"/>
      <c r="AE684" s="139"/>
      <c r="AF684" s="140"/>
      <c r="AG684" s="140"/>
      <c r="AH684" s="140"/>
      <c r="AI684" s="140"/>
      <c r="AJ684" s="140"/>
      <c r="AK684" s="140"/>
      <c r="AL684" s="140"/>
      <c r="AM684" s="140"/>
      <c r="AN684" s="140"/>
      <c r="AO684" s="140"/>
      <c r="AP684" s="140"/>
      <c r="AQ684" s="140"/>
      <c r="AR684" s="140"/>
      <c r="AS684" s="140"/>
      <c r="AT684" s="140"/>
      <c r="AU684" s="140"/>
      <c r="AV684" s="140"/>
      <c r="AW684" s="140"/>
      <c r="AX684" s="140"/>
      <c r="AY684" s="140"/>
      <c r="AZ684" s="140"/>
      <c r="BA684" s="140"/>
      <c r="BB684" s="140"/>
      <c r="BC684" s="140"/>
      <c r="BD684" s="140"/>
      <c r="BE684" s="140"/>
    </row>
    <row r="685" s="119" customFormat="1" ht="48" customHeight="1" outlineLevel="2" spans="1:57">
      <c r="A685" s="162">
        <f t="shared" si="189"/>
        <v>6</v>
      </c>
      <c r="B685" s="14" t="s">
        <v>91</v>
      </c>
      <c r="C685" s="15" t="s">
        <v>92</v>
      </c>
      <c r="D685" s="142" t="s">
        <v>70</v>
      </c>
      <c r="E685" s="143">
        <v>44.894</v>
      </c>
      <c r="F685" s="143">
        <f>$F$22</f>
        <v>12</v>
      </c>
      <c r="G685" s="143">
        <f>$G$22</f>
        <v>25.75</v>
      </c>
      <c r="H685" s="143">
        <f>$H$22</f>
        <v>3.8</v>
      </c>
      <c r="I685" s="17">
        <f t="shared" si="190"/>
        <v>4.155</v>
      </c>
      <c r="J685" s="18">
        <f t="shared" si="191"/>
        <v>45.71</v>
      </c>
      <c r="K685" s="19">
        <f t="shared" si="192"/>
        <v>2052.1</v>
      </c>
      <c r="L685" s="178"/>
      <c r="M685" s="139">
        <v>1</v>
      </c>
      <c r="N685" s="139">
        <v>1865.35</v>
      </c>
      <c r="O685" s="139"/>
      <c r="P685" s="37">
        <f t="shared" si="193"/>
        <v>41.55</v>
      </c>
      <c r="Q685" s="99">
        <f>$Q$22</f>
        <v>25</v>
      </c>
      <c r="R685" s="163">
        <f>$R$22</f>
        <v>0.03</v>
      </c>
      <c r="S685" s="99">
        <f>$S$22</f>
        <v>12</v>
      </c>
      <c r="T685" s="99">
        <f>$T$22</f>
        <v>3.5</v>
      </c>
      <c r="U685" s="99">
        <f>$U$22</f>
        <v>0.3</v>
      </c>
      <c r="V685" s="37">
        <f t="shared" si="194"/>
        <v>1865.3457</v>
      </c>
      <c r="W685" s="139"/>
      <c r="X685" s="139"/>
      <c r="Y685" s="139"/>
      <c r="Z685" s="139"/>
      <c r="AA685" s="139"/>
      <c r="AB685" s="139"/>
      <c r="AC685" s="139"/>
      <c r="AD685" s="139"/>
      <c r="AE685" s="139"/>
      <c r="AF685" s="140"/>
      <c r="AG685" s="140"/>
      <c r="AH685" s="140"/>
      <c r="AI685" s="140"/>
      <c r="AJ685" s="140"/>
      <c r="AK685" s="140"/>
      <c r="AL685" s="140"/>
      <c r="AM685" s="140"/>
      <c r="AN685" s="140"/>
      <c r="AO685" s="140"/>
      <c r="AP685" s="140"/>
      <c r="AQ685" s="140"/>
      <c r="AR685" s="140"/>
      <c r="AS685" s="140"/>
      <c r="AT685" s="140"/>
      <c r="AU685" s="140"/>
      <c r="AV685" s="140"/>
      <c r="AW685" s="140"/>
      <c r="AX685" s="140"/>
      <c r="AY685" s="140"/>
      <c r="AZ685" s="140"/>
      <c r="BA685" s="140"/>
      <c r="BB685" s="140"/>
      <c r="BC685" s="140"/>
      <c r="BD685" s="140"/>
      <c r="BE685" s="140"/>
    </row>
    <row r="686" s="119" customFormat="1" ht="36" customHeight="1" outlineLevel="2" spans="1:57">
      <c r="A686" s="145">
        <f t="shared" si="189"/>
        <v>7</v>
      </c>
      <c r="B686" s="146" t="s">
        <v>350</v>
      </c>
      <c r="C686" s="147" t="s">
        <v>351</v>
      </c>
      <c r="D686" s="148" t="s">
        <v>70</v>
      </c>
      <c r="E686" s="149">
        <v>10.3</v>
      </c>
      <c r="F686" s="149">
        <f>S686*$S$1</f>
        <v>25</v>
      </c>
      <c r="G686" s="149">
        <f>Q686*(1+R686)*$Q$1</f>
        <v>58.195</v>
      </c>
      <c r="H686" s="149">
        <f>(T686+U686)*$T$1</f>
        <v>3.8</v>
      </c>
      <c r="I686" s="150">
        <f t="shared" si="190"/>
        <v>8.6995</v>
      </c>
      <c r="J686" s="151">
        <f t="shared" si="191"/>
        <v>95.69</v>
      </c>
      <c r="K686" s="152">
        <f t="shared" si="192"/>
        <v>985.61</v>
      </c>
      <c r="L686" s="178"/>
      <c r="M686" s="139">
        <v>1</v>
      </c>
      <c r="N686" s="139">
        <v>896.1</v>
      </c>
      <c r="O686" s="139"/>
      <c r="P686" s="37">
        <f t="shared" si="193"/>
        <v>86.995</v>
      </c>
      <c r="Q686" s="71">
        <v>56.5</v>
      </c>
      <c r="R686" s="157">
        <v>0.03</v>
      </c>
      <c r="S686" s="71">
        <v>25</v>
      </c>
      <c r="T686" s="71">
        <v>3.5</v>
      </c>
      <c r="U686" s="71">
        <v>0.3</v>
      </c>
      <c r="V686" s="37">
        <f t="shared" si="194"/>
        <v>896.0485</v>
      </c>
      <c r="W686" s="139"/>
      <c r="X686" s="139"/>
      <c r="Y686" s="139"/>
      <c r="Z686" s="139"/>
      <c r="AA686" s="139"/>
      <c r="AB686" s="139"/>
      <c r="AC686" s="139"/>
      <c r="AD686" s="139"/>
      <c r="AE686" s="139"/>
      <c r="AF686" s="140"/>
      <c r="AG686" s="140"/>
      <c r="AH686" s="140"/>
      <c r="AI686" s="140"/>
      <c r="AJ686" s="140"/>
      <c r="AK686" s="140"/>
      <c r="AL686" s="140"/>
      <c r="AM686" s="140"/>
      <c r="AN686" s="140"/>
      <c r="AO686" s="140"/>
      <c r="AP686" s="140"/>
      <c r="AQ686" s="140"/>
      <c r="AR686" s="140"/>
      <c r="AS686" s="140"/>
      <c r="AT686" s="140"/>
      <c r="AU686" s="140"/>
      <c r="AV686" s="140"/>
      <c r="AW686" s="140"/>
      <c r="AX686" s="140"/>
      <c r="AY686" s="140"/>
      <c r="AZ686" s="140"/>
      <c r="BA686" s="140"/>
      <c r="BB686" s="140"/>
      <c r="BC686" s="140"/>
      <c r="BD686" s="140"/>
      <c r="BE686" s="140"/>
    </row>
    <row r="687" s="119" customFormat="1" ht="36" customHeight="1" outlineLevel="2" spans="1:57">
      <c r="A687" s="162">
        <f t="shared" si="189"/>
        <v>8</v>
      </c>
      <c r="B687" s="14" t="s">
        <v>239</v>
      </c>
      <c r="C687" s="15" t="s">
        <v>240</v>
      </c>
      <c r="D687" s="165" t="s">
        <v>63</v>
      </c>
      <c r="E687" s="143">
        <f>(7.76*3+7.51)*0.095</f>
        <v>2.92505</v>
      </c>
      <c r="F687" s="143">
        <f>$F$356</f>
        <v>110</v>
      </c>
      <c r="G687" s="143">
        <f>$G$356</f>
        <v>454.5</v>
      </c>
      <c r="H687" s="143">
        <f>$H$356</f>
        <v>55.2</v>
      </c>
      <c r="I687" s="17">
        <f t="shared" si="190"/>
        <v>61.97</v>
      </c>
      <c r="J687" s="18">
        <f t="shared" si="191"/>
        <v>681.67</v>
      </c>
      <c r="K687" s="19">
        <f t="shared" si="192"/>
        <v>1993.92</v>
      </c>
      <c r="L687" s="178"/>
      <c r="M687" s="139">
        <v>1</v>
      </c>
      <c r="N687" s="139">
        <v>1812.65</v>
      </c>
      <c r="O687" s="139"/>
      <c r="P687" s="37">
        <f t="shared" si="193"/>
        <v>619.7</v>
      </c>
      <c r="Q687" s="99">
        <f>$Q$356</f>
        <v>450</v>
      </c>
      <c r="R687" s="163">
        <f>$R$356</f>
        <v>0.01</v>
      </c>
      <c r="S687" s="99">
        <f>$S$356</f>
        <v>110</v>
      </c>
      <c r="T687" s="99">
        <f>$T$356</f>
        <v>54</v>
      </c>
      <c r="U687" s="99">
        <f>$U$356</f>
        <v>1.2</v>
      </c>
      <c r="V687" s="37">
        <f t="shared" si="194"/>
        <v>1812.653485</v>
      </c>
      <c r="W687" s="139"/>
      <c r="X687" s="139"/>
      <c r="Y687" s="139"/>
      <c r="Z687" s="139"/>
      <c r="AA687" s="139"/>
      <c r="AB687" s="139"/>
      <c r="AC687" s="139"/>
      <c r="AD687" s="139"/>
      <c r="AE687" s="139"/>
      <c r="AF687" s="140"/>
      <c r="AG687" s="140"/>
      <c r="AH687" s="140"/>
      <c r="AI687" s="140"/>
      <c r="AJ687" s="140"/>
      <c r="AK687" s="140"/>
      <c r="AL687" s="140"/>
      <c r="AM687" s="140"/>
      <c r="AN687" s="140"/>
      <c r="AO687" s="140"/>
      <c r="AP687" s="140"/>
      <c r="AQ687" s="140"/>
      <c r="AR687" s="140"/>
      <c r="AS687" s="140"/>
      <c r="AT687" s="140"/>
      <c r="AU687" s="140"/>
      <c r="AV687" s="140"/>
      <c r="AW687" s="140"/>
      <c r="AX687" s="140"/>
      <c r="AY687" s="140"/>
      <c r="AZ687" s="140"/>
      <c r="BA687" s="140"/>
      <c r="BB687" s="140"/>
      <c r="BC687" s="140"/>
      <c r="BD687" s="140"/>
      <c r="BE687" s="140"/>
    </row>
    <row r="688" s="119" customFormat="1" ht="24" customHeight="1" outlineLevel="1" spans="1:57">
      <c r="A688" s="141"/>
      <c r="B688" s="14" t="s">
        <v>101</v>
      </c>
      <c r="C688" s="15"/>
      <c r="D688" s="142"/>
      <c r="E688" s="143"/>
      <c r="F688" s="143"/>
      <c r="G688" s="143"/>
      <c r="H688" s="143"/>
      <c r="I688" s="143"/>
      <c r="J688" s="143"/>
      <c r="K688" s="144"/>
      <c r="L688" s="178"/>
      <c r="M688" s="139"/>
      <c r="N688" s="139"/>
      <c r="O688" s="139"/>
      <c r="P688" s="137"/>
      <c r="Q688" s="137"/>
      <c r="R688" s="138"/>
      <c r="S688" s="137"/>
      <c r="T688" s="137"/>
      <c r="U688" s="137"/>
      <c r="V688" s="137"/>
      <c r="W688" s="139"/>
      <c r="X688" s="139"/>
      <c r="Y688" s="139"/>
      <c r="Z688" s="139"/>
      <c r="AA688" s="139"/>
      <c r="AB688" s="139"/>
      <c r="AC688" s="139"/>
      <c r="AD688" s="139"/>
      <c r="AE688" s="139"/>
      <c r="AF688" s="140"/>
      <c r="AG688" s="140"/>
      <c r="AH688" s="140"/>
      <c r="AI688" s="140"/>
      <c r="AJ688" s="140"/>
      <c r="AK688" s="140"/>
      <c r="AL688" s="140"/>
      <c r="AM688" s="140"/>
      <c r="AN688" s="140"/>
      <c r="AO688" s="140"/>
      <c r="AP688" s="140"/>
      <c r="AQ688" s="140"/>
      <c r="AR688" s="140"/>
      <c r="AS688" s="140"/>
      <c r="AT688" s="140"/>
      <c r="AU688" s="140"/>
      <c r="AV688" s="140"/>
      <c r="AW688" s="140"/>
      <c r="AX688" s="140"/>
      <c r="AY688" s="140"/>
      <c r="AZ688" s="140"/>
      <c r="BA688" s="140"/>
      <c r="BB688" s="140"/>
      <c r="BC688" s="140"/>
      <c r="BD688" s="140"/>
      <c r="BE688" s="140"/>
    </row>
    <row r="689" s="119" customFormat="1" ht="96" customHeight="1" outlineLevel="2" spans="1:57">
      <c r="A689" s="162">
        <f>1+N(A688)</f>
        <v>1</v>
      </c>
      <c r="B689" s="14" t="s">
        <v>102</v>
      </c>
      <c r="C689" s="167" t="s">
        <v>103</v>
      </c>
      <c r="D689" s="142" t="s">
        <v>63</v>
      </c>
      <c r="E689" s="143">
        <v>106.1</v>
      </c>
      <c r="F689" s="143">
        <f>$F$28</f>
        <v>70</v>
      </c>
      <c r="G689" s="143">
        <f>$G$28</f>
        <v>0</v>
      </c>
      <c r="H689" s="143">
        <f>$H$28</f>
        <v>66.711</v>
      </c>
      <c r="I689" s="17">
        <f>(F689+G689+H689)*$I$3</f>
        <v>13.6711</v>
      </c>
      <c r="J689" s="18">
        <f>ROUND(SUM(F689:I689),2)</f>
        <v>150.38</v>
      </c>
      <c r="K689" s="19">
        <f>ROUND(J689*E689,2)</f>
        <v>15955.32</v>
      </c>
      <c r="L689" s="178"/>
      <c r="M689" s="139">
        <v>1</v>
      </c>
      <c r="N689" s="139">
        <v>14504.93</v>
      </c>
      <c r="O689" s="139"/>
      <c r="P689" s="37">
        <f>Q689+Q689*R689+S689+T689+U689</f>
        <v>136.711</v>
      </c>
      <c r="Q689" s="99">
        <f>$Q$28</f>
        <v>0</v>
      </c>
      <c r="R689" s="163">
        <f>$R$28</f>
        <v>0.01</v>
      </c>
      <c r="S689" s="99">
        <f>$S$28</f>
        <v>70</v>
      </c>
      <c r="T689" s="99">
        <f>$T$28</f>
        <v>64.711</v>
      </c>
      <c r="U689" s="99">
        <f>$U$28</f>
        <v>2</v>
      </c>
      <c r="V689" s="37">
        <f>P689*E689</f>
        <v>14505.0371</v>
      </c>
      <c r="W689" s="139"/>
      <c r="X689" s="139"/>
      <c r="Y689" s="139"/>
      <c r="Z689" s="139"/>
      <c r="AA689" s="139"/>
      <c r="AB689" s="139"/>
      <c r="AC689" s="139"/>
      <c r="AD689" s="139"/>
      <c r="AE689" s="139"/>
      <c r="AF689" s="140"/>
      <c r="AG689" s="140"/>
      <c r="AH689" s="140"/>
      <c r="AI689" s="140"/>
      <c r="AJ689" s="140"/>
      <c r="AK689" s="140"/>
      <c r="AL689" s="140"/>
      <c r="AM689" s="140"/>
      <c r="AN689" s="140"/>
      <c r="AO689" s="140"/>
      <c r="AP689" s="140"/>
      <c r="AQ689" s="140"/>
      <c r="AR689" s="140"/>
      <c r="AS689" s="140"/>
      <c r="AT689" s="140"/>
      <c r="AU689" s="140"/>
      <c r="AV689" s="140"/>
      <c r="AW689" s="140"/>
      <c r="AX689" s="140"/>
      <c r="AY689" s="140"/>
      <c r="AZ689" s="140"/>
      <c r="BA689" s="140"/>
      <c r="BB689" s="140"/>
      <c r="BC689" s="140"/>
      <c r="BD689" s="140"/>
      <c r="BE689" s="140"/>
    </row>
    <row r="690" s="119" customFormat="1" ht="72" customHeight="1" outlineLevel="2" spans="1:57">
      <c r="A690" s="162">
        <f>1+N(A689)</f>
        <v>2</v>
      </c>
      <c r="B690" s="14" t="s">
        <v>104</v>
      </c>
      <c r="C690" s="15" t="s">
        <v>105</v>
      </c>
      <c r="D690" s="142" t="s">
        <v>70</v>
      </c>
      <c r="E690" s="143">
        <v>39.02</v>
      </c>
      <c r="F690" s="143">
        <f>$F$29</f>
        <v>50</v>
      </c>
      <c r="G690" s="143">
        <f>$G$29</f>
        <v>0</v>
      </c>
      <c r="H690" s="143">
        <f>$H$29</f>
        <v>22.0941</v>
      </c>
      <c r="I690" s="17">
        <f>(F690+G690+H690)*$I$3</f>
        <v>7.20941</v>
      </c>
      <c r="J690" s="18">
        <f>ROUND(SUM(F690:I690),2)</f>
        <v>79.3</v>
      </c>
      <c r="K690" s="19">
        <f>ROUND(J690*E690,2)</f>
        <v>3094.29</v>
      </c>
      <c r="L690" s="178"/>
      <c r="M690" s="139">
        <v>1</v>
      </c>
      <c r="N690" s="139">
        <v>2812.95</v>
      </c>
      <c r="O690" s="139"/>
      <c r="P690" s="37">
        <f>Q690+Q690*R690+S690+T690+U690</f>
        <v>72.0941</v>
      </c>
      <c r="Q690" s="99">
        <f>$Q$29</f>
        <v>0</v>
      </c>
      <c r="R690" s="163">
        <f>$R$29</f>
        <v>0.01</v>
      </c>
      <c r="S690" s="99">
        <f>$S$29</f>
        <v>50</v>
      </c>
      <c r="T690" s="99">
        <f>$T$29</f>
        <v>22.0941</v>
      </c>
      <c r="U690" s="99">
        <f>$U$29</f>
        <v>0</v>
      </c>
      <c r="V690" s="37">
        <f>P690*E690</f>
        <v>2813.111782</v>
      </c>
      <c r="W690" s="139"/>
      <c r="X690" s="139"/>
      <c r="Y690" s="139"/>
      <c r="Z690" s="139"/>
      <c r="AA690" s="139"/>
      <c r="AB690" s="139"/>
      <c r="AC690" s="139"/>
      <c r="AD690" s="139"/>
      <c r="AE690" s="139"/>
      <c r="AF690" s="140"/>
      <c r="AG690" s="140"/>
      <c r="AH690" s="140"/>
      <c r="AI690" s="140"/>
      <c r="AJ690" s="140"/>
      <c r="AK690" s="140"/>
      <c r="AL690" s="140"/>
      <c r="AM690" s="140"/>
      <c r="AN690" s="140"/>
      <c r="AO690" s="140"/>
      <c r="AP690" s="140"/>
      <c r="AQ690" s="140"/>
      <c r="AR690" s="140"/>
      <c r="AS690" s="140"/>
      <c r="AT690" s="140"/>
      <c r="AU690" s="140"/>
      <c r="AV690" s="140"/>
      <c r="AW690" s="140"/>
      <c r="AX690" s="140"/>
      <c r="AY690" s="140"/>
      <c r="AZ690" s="140"/>
      <c r="BA690" s="140"/>
      <c r="BB690" s="140"/>
      <c r="BC690" s="140"/>
      <c r="BD690" s="140"/>
      <c r="BE690" s="140"/>
    </row>
    <row r="691" s="119" customFormat="1" ht="72" customHeight="1" outlineLevel="2" spans="1:57">
      <c r="A691" s="162">
        <f>1+N(A690)</f>
        <v>3</v>
      </c>
      <c r="B691" s="14" t="s">
        <v>106</v>
      </c>
      <c r="C691" s="15" t="s">
        <v>107</v>
      </c>
      <c r="D691" s="142" t="s">
        <v>70</v>
      </c>
      <c r="E691" s="143">
        <v>39.02</v>
      </c>
      <c r="F691" s="143">
        <f>$F$30</f>
        <v>18</v>
      </c>
      <c r="G691" s="143">
        <f>$G$30</f>
        <v>163.255</v>
      </c>
      <c r="H691" s="143">
        <f>$H$30</f>
        <v>3.8</v>
      </c>
      <c r="I691" s="17">
        <f>(F691+G691+H691)*$I$3</f>
        <v>18.5055</v>
      </c>
      <c r="J691" s="18">
        <f>ROUND(SUM(F691:I691),2)</f>
        <v>203.56</v>
      </c>
      <c r="K691" s="19">
        <f>ROUND(J691*E691,2)</f>
        <v>7942.91</v>
      </c>
      <c r="L691" s="178"/>
      <c r="M691" s="139">
        <v>1</v>
      </c>
      <c r="N691" s="139">
        <v>7221.04</v>
      </c>
      <c r="O691" s="139"/>
      <c r="P691" s="37">
        <f>Q691+Q691*R691+S691+T691+U691</f>
        <v>185.055</v>
      </c>
      <c r="Q691" s="99">
        <f>$Q$30</f>
        <v>158.5</v>
      </c>
      <c r="R691" s="163">
        <f>$R$30</f>
        <v>0.03</v>
      </c>
      <c r="S691" s="99">
        <f>$S$30</f>
        <v>18</v>
      </c>
      <c r="T691" s="99">
        <f>$T$30</f>
        <v>3.5</v>
      </c>
      <c r="U691" s="99">
        <f>$U$30</f>
        <v>0.3</v>
      </c>
      <c r="V691" s="37">
        <f>P691*E691</f>
        <v>7220.8461</v>
      </c>
      <c r="W691" s="139"/>
      <c r="X691" s="139"/>
      <c r="Y691" s="139"/>
      <c r="Z691" s="139"/>
      <c r="AA691" s="139"/>
      <c r="AB691" s="139"/>
      <c r="AC691" s="139"/>
      <c r="AD691" s="139"/>
      <c r="AE691" s="139"/>
      <c r="AF691" s="140"/>
      <c r="AG691" s="140"/>
      <c r="AH691" s="140"/>
      <c r="AI691" s="140"/>
      <c r="AJ691" s="140"/>
      <c r="AK691" s="140"/>
      <c r="AL691" s="140"/>
      <c r="AM691" s="140"/>
      <c r="AN691" s="140"/>
      <c r="AO691" s="140"/>
      <c r="AP691" s="140"/>
      <c r="AQ691" s="140"/>
      <c r="AR691" s="140"/>
      <c r="AS691" s="140"/>
      <c r="AT691" s="140"/>
      <c r="AU691" s="140"/>
      <c r="AV691" s="140"/>
      <c r="AW691" s="140"/>
      <c r="AX691" s="140"/>
      <c r="AY691" s="140"/>
      <c r="AZ691" s="140"/>
      <c r="BA691" s="140"/>
      <c r="BB691" s="140"/>
      <c r="BC691" s="140"/>
      <c r="BD691" s="140"/>
      <c r="BE691" s="140"/>
    </row>
    <row r="692" s="119" customFormat="1" ht="72" customHeight="1" outlineLevel="2" spans="1:57">
      <c r="A692" s="162">
        <f>1+N(A691)</f>
        <v>4</v>
      </c>
      <c r="B692" s="14" t="s">
        <v>108</v>
      </c>
      <c r="C692" s="15" t="s">
        <v>109</v>
      </c>
      <c r="D692" s="142" t="s">
        <v>70</v>
      </c>
      <c r="E692" s="143">
        <f>1.2*2*4</f>
        <v>9.6</v>
      </c>
      <c r="F692" s="143">
        <f>$F$31</f>
        <v>30</v>
      </c>
      <c r="G692" s="143">
        <f>$G$31</f>
        <v>65.6625</v>
      </c>
      <c r="H692" s="143">
        <f>$H$31</f>
        <v>2.7</v>
      </c>
      <c r="I692" s="17">
        <f>(F692+G692+H692)*$I$3</f>
        <v>9.83625</v>
      </c>
      <c r="J692" s="18">
        <f>ROUND(SUM(F692:I692),2)</f>
        <v>108.2</v>
      </c>
      <c r="K692" s="19">
        <f>ROUND(J692*E692,2)</f>
        <v>1038.72</v>
      </c>
      <c r="L692" s="178"/>
      <c r="M692" s="139">
        <v>1</v>
      </c>
      <c r="N692" s="139">
        <v>944.26</v>
      </c>
      <c r="O692" s="139"/>
      <c r="P692" s="37">
        <f>Q692+Q692*R692+S692+T692+U692</f>
        <v>98.3625</v>
      </c>
      <c r="Q692" s="99">
        <f>$Q$31</f>
        <v>63.75</v>
      </c>
      <c r="R692" s="163">
        <f>$R$31</f>
        <v>0.03</v>
      </c>
      <c r="S692" s="99">
        <f>$S$31</f>
        <v>30</v>
      </c>
      <c r="T692" s="99">
        <f>$T$31</f>
        <v>2.5</v>
      </c>
      <c r="U692" s="99">
        <f>$U$31</f>
        <v>0.2</v>
      </c>
      <c r="V692" s="37">
        <f>P692*E692</f>
        <v>944.28</v>
      </c>
      <c r="W692" s="139"/>
      <c r="X692" s="139"/>
      <c r="Y692" s="139"/>
      <c r="Z692" s="139"/>
      <c r="AA692" s="139"/>
      <c r="AB692" s="139"/>
      <c r="AC692" s="139"/>
      <c r="AD692" s="139"/>
      <c r="AE692" s="139"/>
      <c r="AF692" s="140"/>
      <c r="AG692" s="140"/>
      <c r="AH692" s="140"/>
      <c r="AI692" s="140"/>
      <c r="AJ692" s="140"/>
      <c r="AK692" s="140"/>
      <c r="AL692" s="140"/>
      <c r="AM692" s="140"/>
      <c r="AN692" s="140"/>
      <c r="AO692" s="140"/>
      <c r="AP692" s="140"/>
      <c r="AQ692" s="140"/>
      <c r="AR692" s="140"/>
      <c r="AS692" s="140"/>
      <c r="AT692" s="140"/>
      <c r="AU692" s="140"/>
      <c r="AV692" s="140"/>
      <c r="AW692" s="140"/>
      <c r="AX692" s="140"/>
      <c r="AY692" s="140"/>
      <c r="AZ692" s="140"/>
      <c r="BA692" s="140"/>
      <c r="BB692" s="140"/>
      <c r="BC692" s="140"/>
      <c r="BD692" s="140"/>
      <c r="BE692" s="140"/>
    </row>
    <row r="693" s="119" customFormat="1" ht="72" customHeight="1" outlineLevel="2" spans="1:57">
      <c r="A693" s="162">
        <f>1+N(A692)</f>
        <v>5</v>
      </c>
      <c r="B693" s="14" t="s">
        <v>110</v>
      </c>
      <c r="C693" s="15" t="s">
        <v>111</v>
      </c>
      <c r="D693" s="142" t="s">
        <v>63</v>
      </c>
      <c r="E693" s="143">
        <f>106.1+39.02*0.3</f>
        <v>117.806</v>
      </c>
      <c r="F693" s="143">
        <f>$F$32</f>
        <v>45</v>
      </c>
      <c r="G693" s="143">
        <f>$G$32</f>
        <v>85.5</v>
      </c>
      <c r="H693" s="143">
        <f>$H$32</f>
        <v>7.3</v>
      </c>
      <c r="I693" s="17">
        <f>(F693+G693+H693)*$I$3</f>
        <v>13.78</v>
      </c>
      <c r="J693" s="18">
        <f>ROUND(SUM(F693:I693),2)</f>
        <v>151.58</v>
      </c>
      <c r="K693" s="19">
        <f>ROUND(J693*E693,2)</f>
        <v>17857.03</v>
      </c>
      <c r="L693" s="178"/>
      <c r="M693" s="139">
        <v>1</v>
      </c>
      <c r="N693" s="139">
        <v>16233.67</v>
      </c>
      <c r="O693" s="139"/>
      <c r="P693" s="37">
        <f>Q693+Q693*R693+S693+T693+U693</f>
        <v>137.8</v>
      </c>
      <c r="Q693" s="99">
        <f>$Q$32</f>
        <v>85.5</v>
      </c>
      <c r="R693" s="163">
        <f>$R$32</f>
        <v>0</v>
      </c>
      <c r="S693" s="99">
        <f>$S$32</f>
        <v>45</v>
      </c>
      <c r="T693" s="99">
        <f>$T$32</f>
        <v>6.5</v>
      </c>
      <c r="U693" s="99">
        <f>$U$32</f>
        <v>0.8</v>
      </c>
      <c r="V693" s="37">
        <f>P693*E693</f>
        <v>16233.6668</v>
      </c>
      <c r="W693" s="139"/>
      <c r="X693" s="139"/>
      <c r="Y693" s="139"/>
      <c r="Z693" s="139"/>
      <c r="AA693" s="139"/>
      <c r="AB693" s="139"/>
      <c r="AC693" s="139"/>
      <c r="AD693" s="139"/>
      <c r="AE693" s="139"/>
      <c r="AF693" s="140"/>
      <c r="AG693" s="140"/>
      <c r="AH693" s="140"/>
      <c r="AI693" s="140"/>
      <c r="AJ693" s="140"/>
      <c r="AK693" s="140"/>
      <c r="AL693" s="140"/>
      <c r="AM693" s="140"/>
      <c r="AN693" s="140"/>
      <c r="AO693" s="140"/>
      <c r="AP693" s="140"/>
      <c r="AQ693" s="140"/>
      <c r="AR693" s="140"/>
      <c r="AS693" s="140"/>
      <c r="AT693" s="140"/>
      <c r="AU693" s="140"/>
      <c r="AV693" s="140"/>
      <c r="AW693" s="140"/>
      <c r="AX693" s="140"/>
      <c r="AY693" s="140"/>
      <c r="AZ693" s="140"/>
      <c r="BA693" s="140"/>
      <c r="BB693" s="140"/>
      <c r="BC693" s="140"/>
      <c r="BD693" s="140"/>
      <c r="BE693" s="140"/>
    </row>
    <row r="694" s="119" customFormat="1" ht="24" customHeight="1" outlineLevel="1" spans="1:57">
      <c r="A694" s="141"/>
      <c r="B694" s="14" t="s">
        <v>112</v>
      </c>
      <c r="C694" s="15"/>
      <c r="D694" s="142"/>
      <c r="E694" s="143"/>
      <c r="F694" s="143"/>
      <c r="G694" s="143"/>
      <c r="H694" s="143"/>
      <c r="I694" s="143"/>
      <c r="J694" s="143"/>
      <c r="K694" s="144"/>
      <c r="L694" s="178"/>
      <c r="M694" s="139"/>
      <c r="N694" s="139"/>
      <c r="O694" s="139"/>
      <c r="P694" s="137"/>
      <c r="Q694" s="137"/>
      <c r="R694" s="138"/>
      <c r="S694" s="137"/>
      <c r="T694" s="137"/>
      <c r="U694" s="137"/>
      <c r="V694" s="137"/>
      <c r="W694" s="139"/>
      <c r="X694" s="139"/>
      <c r="Y694" s="139"/>
      <c r="Z694" s="139"/>
      <c r="AA694" s="139"/>
      <c r="AB694" s="139"/>
      <c r="AC694" s="139"/>
      <c r="AD694" s="139"/>
      <c r="AE694" s="139"/>
      <c r="AF694" s="140"/>
      <c r="AG694" s="140"/>
      <c r="AH694" s="140"/>
      <c r="AI694" s="140"/>
      <c r="AJ694" s="140"/>
      <c r="AK694" s="140"/>
      <c r="AL694" s="140"/>
      <c r="AM694" s="140"/>
      <c r="AN694" s="140"/>
      <c r="AO694" s="140"/>
      <c r="AP694" s="140"/>
      <c r="AQ694" s="140"/>
      <c r="AR694" s="140"/>
      <c r="AS694" s="140"/>
      <c r="AT694" s="140"/>
      <c r="AU694" s="140"/>
      <c r="AV694" s="140"/>
      <c r="AW694" s="140"/>
      <c r="AX694" s="140"/>
      <c r="AY694" s="140"/>
      <c r="AZ694" s="140"/>
      <c r="BA694" s="140"/>
      <c r="BB694" s="140"/>
      <c r="BC694" s="140"/>
      <c r="BD694" s="140"/>
      <c r="BE694" s="140"/>
    </row>
    <row r="695" s="119" customFormat="1" ht="60" customHeight="1" outlineLevel="2" spans="1:57">
      <c r="A695" s="145">
        <f>1+N(A694)</f>
        <v>1</v>
      </c>
      <c r="B695" s="146" t="s">
        <v>352</v>
      </c>
      <c r="C695" s="147" t="s">
        <v>330</v>
      </c>
      <c r="D695" s="148" t="s">
        <v>63</v>
      </c>
      <c r="E695" s="149">
        <f>1.86*3.2</f>
        <v>5.952</v>
      </c>
      <c r="F695" s="149">
        <f>S695*$S$1</f>
        <v>145</v>
      </c>
      <c r="G695" s="149">
        <f>Q695*(1+R695)*$Q$1</f>
        <v>2150</v>
      </c>
      <c r="H695" s="149">
        <f>(T695+U695)*$T$1</f>
        <v>28.5</v>
      </c>
      <c r="I695" s="150">
        <f>(F695+G695+H695)*$I$3</f>
        <v>232.35</v>
      </c>
      <c r="J695" s="151">
        <f>ROUND(SUM(F695:I695),2)</f>
        <v>2555.85</v>
      </c>
      <c r="K695" s="152">
        <f>ROUND(J695*E695,2)</f>
        <v>15212.42</v>
      </c>
      <c r="L695" s="178"/>
      <c r="M695" s="139">
        <v>1</v>
      </c>
      <c r="N695" s="139">
        <v>13829.47</v>
      </c>
      <c r="O695" s="139"/>
      <c r="P695" s="37">
        <f>Q695+Q695*R695+S695+T695+U695</f>
        <v>2323.5</v>
      </c>
      <c r="Q695" s="71">
        <v>2150</v>
      </c>
      <c r="R695" s="157">
        <v>0</v>
      </c>
      <c r="S695" s="71">
        <v>145</v>
      </c>
      <c r="T695" s="71">
        <v>27</v>
      </c>
      <c r="U695" s="71">
        <v>1.5</v>
      </c>
      <c r="V695" s="37">
        <f>P695*E695</f>
        <v>13829.472</v>
      </c>
      <c r="W695" s="139"/>
      <c r="X695" s="139"/>
      <c r="Y695" s="139"/>
      <c r="Z695" s="139"/>
      <c r="AA695" s="139"/>
      <c r="AB695" s="139"/>
      <c r="AC695" s="139"/>
      <c r="AD695" s="139"/>
      <c r="AE695" s="139"/>
      <c r="AF695" s="140"/>
      <c r="AG695" s="140"/>
      <c r="AH695" s="140"/>
      <c r="AI695" s="140"/>
      <c r="AJ695" s="140"/>
      <c r="AK695" s="140"/>
      <c r="AL695" s="140"/>
      <c r="AM695" s="140"/>
      <c r="AN695" s="140"/>
      <c r="AO695" s="140"/>
      <c r="AP695" s="140"/>
      <c r="AQ695" s="140"/>
      <c r="AR695" s="140"/>
      <c r="AS695" s="140"/>
      <c r="AT695" s="140"/>
      <c r="AU695" s="140"/>
      <c r="AV695" s="140"/>
      <c r="AW695" s="140"/>
      <c r="AX695" s="140"/>
      <c r="AY695" s="140"/>
      <c r="AZ695" s="140"/>
      <c r="BA695" s="140"/>
      <c r="BB695" s="140"/>
      <c r="BC695" s="140"/>
      <c r="BD695" s="140"/>
      <c r="BE695" s="140"/>
    </row>
    <row r="696" s="119" customFormat="1" ht="60" customHeight="1" outlineLevel="2" spans="1:57">
      <c r="A696" s="145">
        <f>1+N(A695)</f>
        <v>2</v>
      </c>
      <c r="B696" s="146" t="s">
        <v>353</v>
      </c>
      <c r="C696" s="147" t="s">
        <v>330</v>
      </c>
      <c r="D696" s="148" t="s">
        <v>63</v>
      </c>
      <c r="E696" s="149">
        <f>2.77*3.2</f>
        <v>8.864</v>
      </c>
      <c r="F696" s="149">
        <f>S696*$S$1</f>
        <v>145</v>
      </c>
      <c r="G696" s="149">
        <f>Q696*(1+R696)*$Q$1</f>
        <v>2150</v>
      </c>
      <c r="H696" s="149">
        <f>(T696+U696)*$T$1</f>
        <v>28.5</v>
      </c>
      <c r="I696" s="150">
        <f>(F696+G696+H696)*$I$3</f>
        <v>232.35</v>
      </c>
      <c r="J696" s="151">
        <f>ROUND(SUM(F696:I696),2)</f>
        <v>2555.85</v>
      </c>
      <c r="K696" s="152">
        <f>ROUND(J696*E696,2)</f>
        <v>22655.05</v>
      </c>
      <c r="L696" s="178"/>
      <c r="M696" s="139">
        <v>1</v>
      </c>
      <c r="N696" s="139">
        <v>20595.5</v>
      </c>
      <c r="O696" s="139"/>
      <c r="P696" s="37">
        <f>Q696+Q696*R696+S696+T696+U696</f>
        <v>2323.5</v>
      </c>
      <c r="Q696" s="71">
        <v>2150</v>
      </c>
      <c r="R696" s="157">
        <v>0</v>
      </c>
      <c r="S696" s="71">
        <v>145</v>
      </c>
      <c r="T696" s="71">
        <v>27</v>
      </c>
      <c r="U696" s="71">
        <v>1.5</v>
      </c>
      <c r="V696" s="37">
        <f>P696*E696</f>
        <v>20595.504</v>
      </c>
      <c r="W696" s="139"/>
      <c r="X696" s="139"/>
      <c r="Y696" s="139"/>
      <c r="Z696" s="139"/>
      <c r="AA696" s="139"/>
      <c r="AB696" s="139"/>
      <c r="AC696" s="139"/>
      <c r="AD696" s="139"/>
      <c r="AE696" s="139"/>
      <c r="AF696" s="140"/>
      <c r="AG696" s="140"/>
      <c r="AH696" s="140"/>
      <c r="AI696" s="140"/>
      <c r="AJ696" s="140"/>
      <c r="AK696" s="140"/>
      <c r="AL696" s="140"/>
      <c r="AM696" s="140"/>
      <c r="AN696" s="140"/>
      <c r="AO696" s="140"/>
      <c r="AP696" s="140"/>
      <c r="AQ696" s="140"/>
      <c r="AR696" s="140"/>
      <c r="AS696" s="140"/>
      <c r="AT696" s="140"/>
      <c r="AU696" s="140"/>
      <c r="AV696" s="140"/>
      <c r="AW696" s="140"/>
      <c r="AX696" s="140"/>
      <c r="AY696" s="140"/>
      <c r="AZ696" s="140"/>
      <c r="BA696" s="140"/>
      <c r="BB696" s="140"/>
      <c r="BC696" s="140"/>
      <c r="BD696" s="140"/>
      <c r="BE696" s="140"/>
    </row>
    <row r="697" s="119" customFormat="1" ht="48" customHeight="1" outlineLevel="2" spans="1:57">
      <c r="A697" s="162">
        <f>1+N(A696)</f>
        <v>3</v>
      </c>
      <c r="B697" s="14" t="s">
        <v>137</v>
      </c>
      <c r="C697" s="15" t="s">
        <v>138</v>
      </c>
      <c r="D697" s="142" t="s">
        <v>63</v>
      </c>
      <c r="E697" s="143">
        <f>4*0.8*3.2</f>
        <v>10.24</v>
      </c>
      <c r="F697" s="143">
        <f>$F$83</f>
        <v>55</v>
      </c>
      <c r="G697" s="143">
        <f>$G$83</f>
        <v>2325</v>
      </c>
      <c r="H697" s="143">
        <f>$H$83</f>
        <v>16.5</v>
      </c>
      <c r="I697" s="17">
        <f>(F697+G697+H697)*$I$3</f>
        <v>239.65</v>
      </c>
      <c r="J697" s="18">
        <f>ROUND(SUM(F697:I697),2)</f>
        <v>2636.15</v>
      </c>
      <c r="K697" s="19">
        <f>ROUND(J697*E697,2)</f>
        <v>26994.18</v>
      </c>
      <c r="L697" s="178"/>
      <c r="M697" s="139">
        <v>1</v>
      </c>
      <c r="N697" s="139">
        <v>24540.16</v>
      </c>
      <c r="O697" s="139"/>
      <c r="P697" s="37">
        <f>Q697+Q697*R697+S697+T697+U697</f>
        <v>2396.5</v>
      </c>
      <c r="Q697" s="99">
        <f>$Q$83</f>
        <v>2325</v>
      </c>
      <c r="R697" s="163">
        <f>$R$83</f>
        <v>0</v>
      </c>
      <c r="S697" s="99">
        <f>$S$83</f>
        <v>55</v>
      </c>
      <c r="T697" s="99">
        <f>$T$83</f>
        <v>15</v>
      </c>
      <c r="U697" s="99">
        <f>$U$83</f>
        <v>1.5</v>
      </c>
      <c r="V697" s="37">
        <f>P697*E697</f>
        <v>24540.16</v>
      </c>
      <c r="W697" s="139"/>
      <c r="X697" s="139"/>
      <c r="Y697" s="139"/>
      <c r="Z697" s="139"/>
      <c r="AA697" s="139"/>
      <c r="AB697" s="139"/>
      <c r="AC697" s="139"/>
      <c r="AD697" s="139"/>
      <c r="AE697" s="139"/>
      <c r="AF697" s="140"/>
      <c r="AG697" s="140"/>
      <c r="AH697" s="140"/>
      <c r="AI697" s="140"/>
      <c r="AJ697" s="140"/>
      <c r="AK697" s="140"/>
      <c r="AL697" s="140"/>
      <c r="AM697" s="140"/>
      <c r="AN697" s="140"/>
      <c r="AO697" s="140"/>
      <c r="AP697" s="140"/>
      <c r="AQ697" s="140"/>
      <c r="AR697" s="140"/>
      <c r="AS697" s="140"/>
      <c r="AT697" s="140"/>
      <c r="AU697" s="140"/>
      <c r="AV697" s="140"/>
      <c r="AW697" s="140"/>
      <c r="AX697" s="140"/>
      <c r="AY697" s="140"/>
      <c r="AZ697" s="140"/>
      <c r="BA697" s="140"/>
      <c r="BB697" s="140"/>
      <c r="BC697" s="140"/>
      <c r="BD697" s="140"/>
      <c r="BE697" s="140"/>
    </row>
    <row r="698" s="119" customFormat="1" ht="24" customHeight="1" outlineLevel="1" spans="1:57">
      <c r="A698" s="132" t="s">
        <v>354</v>
      </c>
      <c r="B698" s="8" t="s">
        <v>355</v>
      </c>
      <c r="C698" s="180"/>
      <c r="D698" s="133"/>
      <c r="E698" s="134"/>
      <c r="F698" s="134"/>
      <c r="G698" s="134"/>
      <c r="H698" s="134"/>
      <c r="I698" s="134"/>
      <c r="J698" s="134"/>
      <c r="K698" s="11"/>
      <c r="L698" s="178"/>
      <c r="M698" s="139"/>
      <c r="N698" s="139"/>
      <c r="O698" s="139" t="str">
        <f>_xlfn.DISPIMG("ID_589CA08F212B437D95718DE5C13512ED",1)</f>
        <v>=DISPIMG("ID_589CA08F212B437D95718DE5C13512ED",1)</v>
      </c>
      <c r="P698" s="137"/>
      <c r="Q698" s="137"/>
      <c r="R698" s="138"/>
      <c r="S698" s="137"/>
      <c r="T698" s="137"/>
      <c r="U698" s="137"/>
      <c r="V698" s="137"/>
      <c r="W698" s="139"/>
      <c r="X698" s="139"/>
      <c r="Y698" s="139"/>
      <c r="Z698" s="139"/>
      <c r="AA698" s="139"/>
      <c r="AB698" s="139"/>
      <c r="AC698" s="139"/>
      <c r="AD698" s="139"/>
      <c r="AE698" s="139"/>
      <c r="AF698" s="140"/>
      <c r="AG698" s="140"/>
      <c r="AH698" s="140"/>
      <c r="AI698" s="140"/>
      <c r="AJ698" s="140"/>
      <c r="AK698" s="140"/>
      <c r="AL698" s="140"/>
      <c r="AM698" s="140"/>
      <c r="AN698" s="140"/>
      <c r="AO698" s="140"/>
      <c r="AP698" s="140"/>
      <c r="AQ698" s="140"/>
      <c r="AR698" s="140"/>
      <c r="AS698" s="140"/>
      <c r="AT698" s="140"/>
      <c r="AU698" s="140"/>
      <c r="AV698" s="140"/>
      <c r="AW698" s="140"/>
      <c r="AX698" s="140"/>
      <c r="AY698" s="140"/>
      <c r="AZ698" s="140"/>
      <c r="BA698" s="140"/>
      <c r="BB698" s="140"/>
      <c r="BC698" s="140"/>
      <c r="BD698" s="140"/>
      <c r="BE698" s="140"/>
    </row>
    <row r="699" s="119" customFormat="1" ht="24" customHeight="1" outlineLevel="1" spans="1:57">
      <c r="A699" s="141"/>
      <c r="B699" s="14" t="s">
        <v>60</v>
      </c>
      <c r="C699" s="15"/>
      <c r="D699" s="142"/>
      <c r="E699" s="143"/>
      <c r="F699" s="143"/>
      <c r="G699" s="143"/>
      <c r="H699" s="143"/>
      <c r="I699" s="143"/>
      <c r="J699" s="143"/>
      <c r="K699" s="144"/>
      <c r="L699" s="178"/>
      <c r="M699" s="139"/>
      <c r="N699" s="139"/>
      <c r="O699" s="139"/>
      <c r="P699" s="137"/>
      <c r="Q699" s="137"/>
      <c r="R699" s="138"/>
      <c r="S699" s="137"/>
      <c r="T699" s="137"/>
      <c r="U699" s="137"/>
      <c r="V699" s="137"/>
      <c r="W699" s="139"/>
      <c r="X699" s="139"/>
      <c r="Y699" s="139"/>
      <c r="Z699" s="139"/>
      <c r="AA699" s="139"/>
      <c r="AB699" s="139"/>
      <c r="AC699" s="139"/>
      <c r="AD699" s="139"/>
      <c r="AE699" s="139"/>
      <c r="AF699" s="140"/>
      <c r="AG699" s="140"/>
      <c r="AH699" s="140"/>
      <c r="AI699" s="140"/>
      <c r="AJ699" s="140"/>
      <c r="AK699" s="140"/>
      <c r="AL699" s="140"/>
      <c r="AM699" s="140"/>
      <c r="AN699" s="140"/>
      <c r="AO699" s="140"/>
      <c r="AP699" s="140"/>
      <c r="AQ699" s="140"/>
      <c r="AR699" s="140"/>
      <c r="AS699" s="140"/>
      <c r="AT699" s="140"/>
      <c r="AU699" s="140"/>
      <c r="AV699" s="140"/>
      <c r="AW699" s="140"/>
      <c r="AX699" s="140"/>
      <c r="AY699" s="140"/>
      <c r="AZ699" s="140"/>
      <c r="BA699" s="140"/>
      <c r="BB699" s="140"/>
      <c r="BC699" s="140"/>
      <c r="BD699" s="140"/>
      <c r="BE699" s="140"/>
    </row>
    <row r="700" s="119" customFormat="1" ht="96" customHeight="1" outlineLevel="2" spans="1:57">
      <c r="A700" s="162">
        <f>1+N(A699)</f>
        <v>1</v>
      </c>
      <c r="B700" s="14" t="s">
        <v>61</v>
      </c>
      <c r="C700" s="15" t="s">
        <v>62</v>
      </c>
      <c r="D700" s="142" t="s">
        <v>63</v>
      </c>
      <c r="E700" s="143">
        <v>1.38</v>
      </c>
      <c r="F700" s="143">
        <f>$F$7</f>
        <v>130</v>
      </c>
      <c r="G700" s="143">
        <f>$G$7</f>
        <v>628.3</v>
      </c>
      <c r="H700" s="17">
        <f>$H$7</f>
        <v>47.7</v>
      </c>
      <c r="I700" s="17">
        <f>(F700+G700+H700)*$I$3</f>
        <v>80.6</v>
      </c>
      <c r="J700" s="18">
        <f>ROUND(SUM(F700:I700),2)</f>
        <v>886.6</v>
      </c>
      <c r="K700" s="19">
        <f>ROUND(J700*E700,2)</f>
        <v>1223.51</v>
      </c>
      <c r="L700" s="178"/>
      <c r="M700" s="139">
        <v>1</v>
      </c>
      <c r="N700" s="139">
        <v>1112.28</v>
      </c>
      <c r="O700" s="139"/>
      <c r="P700" s="37">
        <f>Q700+Q700*R700+S700+T700+U700</f>
        <v>806</v>
      </c>
      <c r="Q700" s="99">
        <f>$Q$7</f>
        <v>610</v>
      </c>
      <c r="R700" s="163">
        <f>$R$7</f>
        <v>0.03</v>
      </c>
      <c r="S700" s="99">
        <f>$S$7</f>
        <v>130</v>
      </c>
      <c r="T700" s="99">
        <f>$T$7</f>
        <v>46.2</v>
      </c>
      <c r="U700" s="99">
        <f>$U$7</f>
        <v>1.5</v>
      </c>
      <c r="V700" s="37">
        <f>P700*E700</f>
        <v>1112.28</v>
      </c>
      <c r="W700" s="139"/>
      <c r="X700" s="139"/>
      <c r="Y700" s="139"/>
      <c r="Z700" s="139"/>
      <c r="AA700" s="139"/>
      <c r="AB700" s="139"/>
      <c r="AC700" s="139"/>
      <c r="AD700" s="139"/>
      <c r="AE700" s="139"/>
      <c r="AF700" s="140"/>
      <c r="AG700" s="140"/>
      <c r="AH700" s="140"/>
      <c r="AI700" s="140"/>
      <c r="AJ700" s="140"/>
      <c r="AK700" s="140"/>
      <c r="AL700" s="140"/>
      <c r="AM700" s="140"/>
      <c r="AN700" s="140"/>
      <c r="AO700" s="140"/>
      <c r="AP700" s="140"/>
      <c r="AQ700" s="140"/>
      <c r="AR700" s="140"/>
      <c r="AS700" s="140"/>
      <c r="AT700" s="140"/>
      <c r="AU700" s="140"/>
      <c r="AV700" s="140"/>
      <c r="AW700" s="140"/>
      <c r="AX700" s="140"/>
      <c r="AY700" s="140"/>
      <c r="AZ700" s="140"/>
      <c r="BA700" s="140"/>
      <c r="BB700" s="140"/>
      <c r="BC700" s="140"/>
      <c r="BD700" s="140"/>
      <c r="BE700" s="140"/>
    </row>
    <row r="701" s="119" customFormat="1" ht="96" customHeight="1" outlineLevel="2" spans="1:57">
      <c r="A701" s="162">
        <f>1+N(A700)</f>
        <v>2</v>
      </c>
      <c r="B701" s="14" t="s">
        <v>220</v>
      </c>
      <c r="C701" s="15" t="s">
        <v>221</v>
      </c>
      <c r="D701" s="142" t="s">
        <v>63</v>
      </c>
      <c r="E701" s="143">
        <v>42.13</v>
      </c>
      <c r="F701" s="143">
        <f>$F$339</f>
        <v>130</v>
      </c>
      <c r="G701" s="143">
        <f>$G$339</f>
        <v>628.3</v>
      </c>
      <c r="H701" s="17">
        <f>$H$339</f>
        <v>47.7</v>
      </c>
      <c r="I701" s="17">
        <f>(F701+G701+H701)*$I$3</f>
        <v>80.6</v>
      </c>
      <c r="J701" s="18">
        <f>ROUND(SUM(F701:I701),2)</f>
        <v>886.6</v>
      </c>
      <c r="K701" s="19">
        <f>ROUND(J701*E701,2)</f>
        <v>37352.46</v>
      </c>
      <c r="L701" s="178"/>
      <c r="M701" s="139">
        <v>1</v>
      </c>
      <c r="N701" s="139">
        <v>33956.78</v>
      </c>
      <c r="O701" s="139"/>
      <c r="P701" s="37">
        <f>Q701+Q701*R701+S701+T701+U701</f>
        <v>806</v>
      </c>
      <c r="Q701" s="99">
        <f>$Q$339</f>
        <v>610</v>
      </c>
      <c r="R701" s="163">
        <f>$R$339</f>
        <v>0.03</v>
      </c>
      <c r="S701" s="99">
        <f>$S$339</f>
        <v>130</v>
      </c>
      <c r="T701" s="99">
        <f>$T$339</f>
        <v>46.2</v>
      </c>
      <c r="U701" s="99">
        <f>$U$339</f>
        <v>1.5</v>
      </c>
      <c r="V701" s="37">
        <f>P701*E701</f>
        <v>33956.78</v>
      </c>
      <c r="W701" s="139"/>
      <c r="X701" s="139"/>
      <c r="Y701" s="139"/>
      <c r="Z701" s="139"/>
      <c r="AA701" s="139"/>
      <c r="AB701" s="139"/>
      <c r="AC701" s="139"/>
      <c r="AD701" s="139"/>
      <c r="AE701" s="139"/>
      <c r="AF701" s="140"/>
      <c r="AG701" s="140"/>
      <c r="AH701" s="140"/>
      <c r="AI701" s="140"/>
      <c r="AJ701" s="140"/>
      <c r="AK701" s="140"/>
      <c r="AL701" s="140"/>
      <c r="AM701" s="140"/>
      <c r="AN701" s="140"/>
      <c r="AO701" s="140"/>
      <c r="AP701" s="140"/>
      <c r="AQ701" s="140"/>
      <c r="AR701" s="140"/>
      <c r="AS701" s="140"/>
      <c r="AT701" s="140"/>
      <c r="AU701" s="140"/>
      <c r="AV701" s="140"/>
      <c r="AW701" s="140"/>
      <c r="AX701" s="140"/>
      <c r="AY701" s="140"/>
      <c r="AZ701" s="140"/>
      <c r="BA701" s="140"/>
      <c r="BB701" s="140"/>
      <c r="BC701" s="140"/>
      <c r="BD701" s="140"/>
      <c r="BE701" s="140"/>
    </row>
    <row r="702" s="119" customFormat="1" ht="36" customHeight="1" outlineLevel="2" spans="1:57">
      <c r="A702" s="162">
        <f>1+N(A701)</f>
        <v>3</v>
      </c>
      <c r="B702" s="14" t="s">
        <v>68</v>
      </c>
      <c r="C702" s="15" t="s">
        <v>69</v>
      </c>
      <c r="D702" s="142" t="s">
        <v>70</v>
      </c>
      <c r="E702" s="143">
        <v>48.4</v>
      </c>
      <c r="F702" s="143">
        <f>$F$10</f>
        <v>12</v>
      </c>
      <c r="G702" s="143">
        <f>$G$10</f>
        <v>19.57</v>
      </c>
      <c r="H702" s="143">
        <f>$H$10</f>
        <v>0.5</v>
      </c>
      <c r="I702" s="17">
        <f>(F702+G702+H702)*$I$3</f>
        <v>3.207</v>
      </c>
      <c r="J702" s="18">
        <f>ROUND(SUM(F702:I702),2)</f>
        <v>35.28</v>
      </c>
      <c r="K702" s="19">
        <f>ROUND(J702*E702,2)</f>
        <v>1707.55</v>
      </c>
      <c r="L702" s="178"/>
      <c r="M702" s="139">
        <v>1</v>
      </c>
      <c r="N702" s="139">
        <v>1552.19</v>
      </c>
      <c r="O702" s="139"/>
      <c r="P702" s="37">
        <f>Q702+Q702*R702+S702+T702+U702</f>
        <v>32.07</v>
      </c>
      <c r="Q702" s="99">
        <f>$Q$10</f>
        <v>19</v>
      </c>
      <c r="R702" s="163">
        <f>$R$10</f>
        <v>0.03</v>
      </c>
      <c r="S702" s="99">
        <f>$S$10</f>
        <v>12</v>
      </c>
      <c r="T702" s="99">
        <f>$T$10</f>
        <v>0.3</v>
      </c>
      <c r="U702" s="99">
        <f>$U$10</f>
        <v>0.2</v>
      </c>
      <c r="V702" s="37">
        <f>P702*E702</f>
        <v>1552.188</v>
      </c>
      <c r="W702" s="139"/>
      <c r="X702" s="139"/>
      <c r="Y702" s="139"/>
      <c r="Z702" s="139"/>
      <c r="AA702" s="139"/>
      <c r="AB702" s="139"/>
      <c r="AC702" s="139"/>
      <c r="AD702" s="139"/>
      <c r="AE702" s="139"/>
      <c r="AF702" s="140"/>
      <c r="AG702" s="140"/>
      <c r="AH702" s="140"/>
      <c r="AI702" s="140"/>
      <c r="AJ702" s="140"/>
      <c r="AK702" s="140"/>
      <c r="AL702" s="140"/>
      <c r="AM702" s="140"/>
      <c r="AN702" s="140"/>
      <c r="AO702" s="140"/>
      <c r="AP702" s="140"/>
      <c r="AQ702" s="140"/>
      <c r="AR702" s="140"/>
      <c r="AS702" s="140"/>
      <c r="AT702" s="140"/>
      <c r="AU702" s="140"/>
      <c r="AV702" s="140"/>
      <c r="AW702" s="140"/>
      <c r="AX702" s="140"/>
      <c r="AY702" s="140"/>
      <c r="AZ702" s="140"/>
      <c r="BA702" s="140"/>
      <c r="BB702" s="140"/>
      <c r="BC702" s="140"/>
      <c r="BD702" s="140"/>
      <c r="BE702" s="140"/>
    </row>
    <row r="703" s="119" customFormat="1" ht="24" customHeight="1" outlineLevel="1" spans="1:57">
      <c r="A703" s="141"/>
      <c r="B703" s="14" t="s">
        <v>73</v>
      </c>
      <c r="C703" s="15"/>
      <c r="D703" s="142"/>
      <c r="E703" s="143"/>
      <c r="F703" s="143"/>
      <c r="G703" s="143"/>
      <c r="H703" s="143"/>
      <c r="I703" s="143"/>
      <c r="J703" s="143"/>
      <c r="K703" s="144"/>
      <c r="L703" s="178"/>
      <c r="M703" s="139"/>
      <c r="N703" s="139"/>
      <c r="O703" s="139"/>
      <c r="P703" s="137"/>
      <c r="Q703" s="137"/>
      <c r="R703" s="138"/>
      <c r="S703" s="137"/>
      <c r="T703" s="137"/>
      <c r="U703" s="137"/>
      <c r="V703" s="137"/>
      <c r="W703" s="139"/>
      <c r="X703" s="139"/>
      <c r="Y703" s="139"/>
      <c r="Z703" s="139"/>
      <c r="AA703" s="139"/>
      <c r="AB703" s="139"/>
      <c r="AC703" s="139"/>
      <c r="AD703" s="139"/>
      <c r="AE703" s="139"/>
      <c r="AF703" s="140"/>
      <c r="AG703" s="140"/>
      <c r="AH703" s="140"/>
      <c r="AI703" s="140"/>
      <c r="AJ703" s="140"/>
      <c r="AK703" s="140"/>
      <c r="AL703" s="140"/>
      <c r="AM703" s="140"/>
      <c r="AN703" s="140"/>
      <c r="AO703" s="140"/>
      <c r="AP703" s="140"/>
      <c r="AQ703" s="140"/>
      <c r="AR703" s="140"/>
      <c r="AS703" s="140"/>
      <c r="AT703" s="140"/>
      <c r="AU703" s="140"/>
      <c r="AV703" s="140"/>
      <c r="AW703" s="140"/>
      <c r="AX703" s="140"/>
      <c r="AY703" s="140"/>
      <c r="AZ703" s="140"/>
      <c r="BA703" s="140"/>
      <c r="BB703" s="140"/>
      <c r="BC703" s="140"/>
      <c r="BD703" s="140"/>
      <c r="BE703" s="140"/>
    </row>
    <row r="704" s="119" customFormat="1" ht="96" customHeight="1" outlineLevel="2" spans="1:57">
      <c r="A704" s="162">
        <f t="shared" ref="A704:A709" si="195">1+N(A703)</f>
        <v>1</v>
      </c>
      <c r="B704" s="164" t="s">
        <v>76</v>
      </c>
      <c r="C704" s="15" t="s">
        <v>258</v>
      </c>
      <c r="D704" s="142" t="s">
        <v>63</v>
      </c>
      <c r="E704" s="143">
        <v>1.055</v>
      </c>
      <c r="F704" s="143">
        <f>$F$459</f>
        <v>140</v>
      </c>
      <c r="G704" s="143">
        <f>$G$459</f>
        <v>682.5</v>
      </c>
      <c r="H704" s="143">
        <f>$H$459</f>
        <v>113.55</v>
      </c>
      <c r="I704" s="17">
        <f t="shared" ref="I704:I709" si="196">(F704+G704+H704)*$I$3</f>
        <v>93.605</v>
      </c>
      <c r="J704" s="18">
        <f t="shared" ref="J704:J709" si="197">ROUND(SUM(F704:I704),2)</f>
        <v>1029.66</v>
      </c>
      <c r="K704" s="19">
        <f t="shared" ref="K704:K709" si="198">ROUND(J704*E704,2)</f>
        <v>1086.29</v>
      </c>
      <c r="L704" s="178"/>
      <c r="M704" s="139">
        <v>1</v>
      </c>
      <c r="N704" s="139">
        <v>987.53</v>
      </c>
      <c r="O704" s="139"/>
      <c r="P704" s="37">
        <f t="shared" ref="P704:P709" si="199">Q704+Q704*R704+S704+T704+U704</f>
        <v>936.05</v>
      </c>
      <c r="Q704" s="99">
        <f>$Q$459</f>
        <v>650</v>
      </c>
      <c r="R704" s="163">
        <f>$R$459</f>
        <v>0.05</v>
      </c>
      <c r="S704" s="99">
        <f>$S$459</f>
        <v>140</v>
      </c>
      <c r="T704" s="99">
        <f>$T$459</f>
        <v>111.75</v>
      </c>
      <c r="U704" s="99">
        <f>$U$459</f>
        <v>1.8</v>
      </c>
      <c r="V704" s="37">
        <f t="shared" ref="V704:V709" si="200">P704*E704</f>
        <v>987.53275</v>
      </c>
      <c r="W704" s="139"/>
      <c r="X704" s="139"/>
      <c r="Y704" s="139"/>
      <c r="Z704" s="139"/>
      <c r="AA704" s="139"/>
      <c r="AB704" s="139"/>
      <c r="AC704" s="139"/>
      <c r="AD704" s="139"/>
      <c r="AE704" s="139"/>
      <c r="AF704" s="140"/>
      <c r="AG704" s="140"/>
      <c r="AH704" s="140"/>
      <c r="AI704" s="140"/>
      <c r="AJ704" s="140"/>
      <c r="AK704" s="140"/>
      <c r="AL704" s="140"/>
      <c r="AM704" s="140"/>
      <c r="AN704" s="140"/>
      <c r="AO704" s="140"/>
      <c r="AP704" s="140"/>
      <c r="AQ704" s="140"/>
      <c r="AR704" s="140"/>
      <c r="AS704" s="140"/>
      <c r="AT704" s="140"/>
      <c r="AU704" s="140"/>
      <c r="AV704" s="140"/>
      <c r="AW704" s="140"/>
      <c r="AX704" s="140"/>
      <c r="AY704" s="140"/>
      <c r="AZ704" s="140"/>
      <c r="BA704" s="140"/>
      <c r="BB704" s="140"/>
      <c r="BC704" s="140"/>
      <c r="BD704" s="140"/>
      <c r="BE704" s="140"/>
    </row>
    <row r="705" s="119" customFormat="1" ht="96" customHeight="1" outlineLevel="2" spans="1:57">
      <c r="A705" s="162">
        <f t="shared" si="195"/>
        <v>2</v>
      </c>
      <c r="B705" s="14" t="s">
        <v>78</v>
      </c>
      <c r="C705" s="15" t="s">
        <v>259</v>
      </c>
      <c r="D705" s="142" t="s">
        <v>63</v>
      </c>
      <c r="E705" s="143">
        <v>1.058</v>
      </c>
      <c r="F705" s="143">
        <f>$F$460</f>
        <v>140</v>
      </c>
      <c r="G705" s="143">
        <f>$G$460</f>
        <v>813.75</v>
      </c>
      <c r="H705" s="143">
        <f>$H$460</f>
        <v>113.55</v>
      </c>
      <c r="I705" s="17">
        <f t="shared" si="196"/>
        <v>106.73</v>
      </c>
      <c r="J705" s="18">
        <f t="shared" si="197"/>
        <v>1174.03</v>
      </c>
      <c r="K705" s="19">
        <f t="shared" si="198"/>
        <v>1242.12</v>
      </c>
      <c r="L705" s="178"/>
      <c r="M705" s="139">
        <v>1</v>
      </c>
      <c r="N705" s="139">
        <v>1129.2</v>
      </c>
      <c r="O705" s="139"/>
      <c r="P705" s="37">
        <f t="shared" si="199"/>
        <v>1067.3</v>
      </c>
      <c r="Q705" s="99">
        <f>$Q$460</f>
        <v>775</v>
      </c>
      <c r="R705" s="163">
        <f>$R$460</f>
        <v>0.05</v>
      </c>
      <c r="S705" s="99">
        <f>$S$460</f>
        <v>140</v>
      </c>
      <c r="T705" s="99">
        <f>$T$460</f>
        <v>111.75</v>
      </c>
      <c r="U705" s="99">
        <f>$U$460</f>
        <v>1.8</v>
      </c>
      <c r="V705" s="37">
        <f t="shared" si="200"/>
        <v>1129.2034</v>
      </c>
      <c r="W705" s="139"/>
      <c r="X705" s="139"/>
      <c r="Y705" s="139"/>
      <c r="Z705" s="139"/>
      <c r="AA705" s="139"/>
      <c r="AB705" s="139"/>
      <c r="AC705" s="139"/>
      <c r="AD705" s="139"/>
      <c r="AE705" s="139"/>
      <c r="AF705" s="140"/>
      <c r="AG705" s="140"/>
      <c r="AH705" s="140"/>
      <c r="AI705" s="140"/>
      <c r="AJ705" s="140"/>
      <c r="AK705" s="140"/>
      <c r="AL705" s="140"/>
      <c r="AM705" s="140"/>
      <c r="AN705" s="140"/>
      <c r="AO705" s="140"/>
      <c r="AP705" s="140"/>
      <c r="AQ705" s="140"/>
      <c r="AR705" s="140"/>
      <c r="AS705" s="140"/>
      <c r="AT705" s="140"/>
      <c r="AU705" s="140"/>
      <c r="AV705" s="140"/>
      <c r="AW705" s="140"/>
      <c r="AX705" s="140"/>
      <c r="AY705" s="140"/>
      <c r="AZ705" s="140"/>
      <c r="BA705" s="140"/>
      <c r="BB705" s="140"/>
      <c r="BC705" s="140"/>
      <c r="BD705" s="140"/>
      <c r="BE705" s="140"/>
    </row>
    <row r="706" s="119" customFormat="1" ht="96" customHeight="1" outlineLevel="2" spans="1:57">
      <c r="A706" s="162">
        <f t="shared" si="195"/>
        <v>3</v>
      </c>
      <c r="B706" s="164" t="s">
        <v>344</v>
      </c>
      <c r="C706" s="15" t="s">
        <v>345</v>
      </c>
      <c r="D706" s="142" t="s">
        <v>63</v>
      </c>
      <c r="E706" s="143">
        <v>16.267</v>
      </c>
      <c r="F706" s="143">
        <f>$F$680</f>
        <v>150</v>
      </c>
      <c r="G706" s="143">
        <f>$G$680</f>
        <v>394.275</v>
      </c>
      <c r="H706" s="143">
        <f>$H$680</f>
        <v>113.55</v>
      </c>
      <c r="I706" s="17">
        <f t="shared" si="196"/>
        <v>65.7825</v>
      </c>
      <c r="J706" s="18">
        <f t="shared" si="197"/>
        <v>723.61</v>
      </c>
      <c r="K706" s="19">
        <f t="shared" si="198"/>
        <v>11770.96</v>
      </c>
      <c r="L706" s="178"/>
      <c r="M706" s="139">
        <v>1</v>
      </c>
      <c r="N706" s="139">
        <v>10700.92</v>
      </c>
      <c r="O706" s="139"/>
      <c r="P706" s="37">
        <f t="shared" si="199"/>
        <v>657.825</v>
      </c>
      <c r="Q706" s="99">
        <f>$Q$680</f>
        <v>375.5</v>
      </c>
      <c r="R706" s="163">
        <f>$R$680</f>
        <v>0.05</v>
      </c>
      <c r="S706" s="99">
        <f>$S$680</f>
        <v>150</v>
      </c>
      <c r="T706" s="99">
        <f>$T$680</f>
        <v>111.75</v>
      </c>
      <c r="U706" s="99">
        <f>$U$680</f>
        <v>1.8</v>
      </c>
      <c r="V706" s="37">
        <f t="shared" si="200"/>
        <v>10700.839275</v>
      </c>
      <c r="W706" s="139"/>
      <c r="X706" s="139"/>
      <c r="Y706" s="139"/>
      <c r="Z706" s="139"/>
      <c r="AA706" s="139"/>
      <c r="AB706" s="139"/>
      <c r="AC706" s="139"/>
      <c r="AD706" s="139"/>
      <c r="AE706" s="139"/>
      <c r="AF706" s="140"/>
      <c r="AG706" s="140"/>
      <c r="AH706" s="140"/>
      <c r="AI706" s="140"/>
      <c r="AJ706" s="140"/>
      <c r="AK706" s="140"/>
      <c r="AL706" s="140"/>
      <c r="AM706" s="140"/>
      <c r="AN706" s="140"/>
      <c r="AO706" s="140"/>
      <c r="AP706" s="140"/>
      <c r="AQ706" s="140"/>
      <c r="AR706" s="140"/>
      <c r="AS706" s="140"/>
      <c r="AT706" s="140"/>
      <c r="AU706" s="140"/>
      <c r="AV706" s="140"/>
      <c r="AW706" s="140"/>
      <c r="AX706" s="140"/>
      <c r="AY706" s="140"/>
      <c r="AZ706" s="140"/>
      <c r="BA706" s="140"/>
      <c r="BB706" s="140"/>
      <c r="BC706" s="140"/>
      <c r="BD706" s="140"/>
      <c r="BE706" s="140"/>
    </row>
    <row r="707" s="119" customFormat="1" ht="60" customHeight="1" outlineLevel="2" spans="1:57">
      <c r="A707" s="162">
        <f t="shared" si="195"/>
        <v>4</v>
      </c>
      <c r="B707" s="14" t="s">
        <v>260</v>
      </c>
      <c r="C707" s="15" t="s">
        <v>261</v>
      </c>
      <c r="D707" s="142" t="s">
        <v>63</v>
      </c>
      <c r="E707" s="143">
        <v>35.512</v>
      </c>
      <c r="F707" s="143">
        <f>$F$487</f>
        <v>75</v>
      </c>
      <c r="G707" s="143">
        <f>$G$487</f>
        <v>597.4</v>
      </c>
      <c r="H707" s="143">
        <f>$H$487</f>
        <v>124.95</v>
      </c>
      <c r="I707" s="17">
        <f t="shared" si="196"/>
        <v>79.735</v>
      </c>
      <c r="J707" s="18">
        <f t="shared" si="197"/>
        <v>877.09</v>
      </c>
      <c r="K707" s="19">
        <f t="shared" si="198"/>
        <v>31147.22</v>
      </c>
      <c r="L707" s="178"/>
      <c r="M707" s="139">
        <v>1</v>
      </c>
      <c r="N707" s="139">
        <v>28315.49</v>
      </c>
      <c r="O707" s="139"/>
      <c r="P707" s="37">
        <f t="shared" si="199"/>
        <v>797.35</v>
      </c>
      <c r="Q707" s="99">
        <f>$Q$487</f>
        <v>580</v>
      </c>
      <c r="R707" s="163">
        <f>$R$487</f>
        <v>0.03</v>
      </c>
      <c r="S707" s="99">
        <f>$S$487</f>
        <v>75</v>
      </c>
      <c r="T707" s="99">
        <f>$T$487</f>
        <v>123.75</v>
      </c>
      <c r="U707" s="99">
        <f>$U$487</f>
        <v>1.2</v>
      </c>
      <c r="V707" s="37">
        <f t="shared" si="200"/>
        <v>28315.4932</v>
      </c>
      <c r="W707" s="139"/>
      <c r="X707" s="139"/>
      <c r="Y707" s="139"/>
      <c r="Z707" s="139"/>
      <c r="AA707" s="139"/>
      <c r="AB707" s="139"/>
      <c r="AC707" s="139"/>
      <c r="AD707" s="139"/>
      <c r="AE707" s="139"/>
      <c r="AF707" s="140"/>
      <c r="AG707" s="140"/>
      <c r="AH707" s="140"/>
      <c r="AI707" s="140"/>
      <c r="AJ707" s="140"/>
      <c r="AK707" s="140"/>
      <c r="AL707" s="140"/>
      <c r="AM707" s="140"/>
      <c r="AN707" s="140"/>
      <c r="AO707" s="140"/>
      <c r="AP707" s="140"/>
      <c r="AQ707" s="140"/>
      <c r="AR707" s="140"/>
      <c r="AS707" s="140"/>
      <c r="AT707" s="140"/>
      <c r="AU707" s="140"/>
      <c r="AV707" s="140"/>
      <c r="AW707" s="140"/>
      <c r="AX707" s="140"/>
      <c r="AY707" s="140"/>
      <c r="AZ707" s="140"/>
      <c r="BA707" s="140"/>
      <c r="BB707" s="140"/>
      <c r="BC707" s="140"/>
      <c r="BD707" s="140"/>
      <c r="BE707" s="140"/>
    </row>
    <row r="708" s="119" customFormat="1" ht="36" customHeight="1" outlineLevel="2" spans="1:57">
      <c r="A708" s="162">
        <f t="shared" si="195"/>
        <v>5</v>
      </c>
      <c r="B708" s="14" t="s">
        <v>346</v>
      </c>
      <c r="C708" s="15" t="s">
        <v>347</v>
      </c>
      <c r="D708" s="142" t="s">
        <v>63</v>
      </c>
      <c r="E708" s="143">
        <v>67.623</v>
      </c>
      <c r="F708" s="143">
        <f>$F$682</f>
        <v>75</v>
      </c>
      <c r="G708" s="143">
        <f>$G$682</f>
        <v>308</v>
      </c>
      <c r="H708" s="143">
        <f>$H$682</f>
        <v>54.7</v>
      </c>
      <c r="I708" s="17">
        <f t="shared" si="196"/>
        <v>43.77</v>
      </c>
      <c r="J708" s="18">
        <f t="shared" si="197"/>
        <v>481.47</v>
      </c>
      <c r="K708" s="19">
        <f t="shared" si="198"/>
        <v>32558.45</v>
      </c>
      <c r="L708" s="178"/>
      <c r="M708" s="139">
        <v>1</v>
      </c>
      <c r="N708" s="139">
        <v>29598.59</v>
      </c>
      <c r="O708" s="139"/>
      <c r="P708" s="37">
        <f t="shared" si="199"/>
        <v>437.7</v>
      </c>
      <c r="Q708" s="99">
        <f>$Q$682</f>
        <v>280</v>
      </c>
      <c r="R708" s="163">
        <f>$R$682</f>
        <v>0.1</v>
      </c>
      <c r="S708" s="99">
        <f>$S$682</f>
        <v>75</v>
      </c>
      <c r="T708" s="99">
        <f>$T$682</f>
        <v>53.5</v>
      </c>
      <c r="U708" s="99">
        <f>$U$682</f>
        <v>1.2</v>
      </c>
      <c r="V708" s="37">
        <f t="shared" si="200"/>
        <v>29598.5871</v>
      </c>
      <c r="W708" s="139"/>
      <c r="X708" s="139"/>
      <c r="Y708" s="139"/>
      <c r="Z708" s="139"/>
      <c r="AA708" s="139"/>
      <c r="AB708" s="139"/>
      <c r="AC708" s="139"/>
      <c r="AD708" s="139"/>
      <c r="AE708" s="139"/>
      <c r="AF708" s="140"/>
      <c r="AG708" s="140"/>
      <c r="AH708" s="140"/>
      <c r="AI708" s="140"/>
      <c r="AJ708" s="140"/>
      <c r="AK708" s="140"/>
      <c r="AL708" s="140"/>
      <c r="AM708" s="140"/>
      <c r="AN708" s="140"/>
      <c r="AO708" s="140"/>
      <c r="AP708" s="140"/>
      <c r="AQ708" s="140"/>
      <c r="AR708" s="140"/>
      <c r="AS708" s="140"/>
      <c r="AT708" s="140"/>
      <c r="AU708" s="140"/>
      <c r="AV708" s="140"/>
      <c r="AW708" s="140"/>
      <c r="AX708" s="140"/>
      <c r="AY708" s="140"/>
      <c r="AZ708" s="140"/>
      <c r="BA708" s="140"/>
      <c r="BB708" s="140"/>
      <c r="BC708" s="140"/>
      <c r="BD708" s="140"/>
      <c r="BE708" s="140"/>
    </row>
    <row r="709" s="119" customFormat="1" ht="48" customHeight="1" outlineLevel="2" spans="1:57">
      <c r="A709" s="162">
        <f t="shared" si="195"/>
        <v>6</v>
      </c>
      <c r="B709" s="14" t="s">
        <v>91</v>
      </c>
      <c r="C709" s="15" t="s">
        <v>92</v>
      </c>
      <c r="D709" s="142" t="s">
        <v>70</v>
      </c>
      <c r="E709" s="143">
        <v>35.562</v>
      </c>
      <c r="F709" s="143">
        <f>$F$22</f>
        <v>12</v>
      </c>
      <c r="G709" s="143">
        <f>$G$22</f>
        <v>25.75</v>
      </c>
      <c r="H709" s="143">
        <f>$H$22</f>
        <v>3.8</v>
      </c>
      <c r="I709" s="17">
        <f t="shared" si="196"/>
        <v>4.155</v>
      </c>
      <c r="J709" s="18">
        <f t="shared" si="197"/>
        <v>45.71</v>
      </c>
      <c r="K709" s="19">
        <f t="shared" si="198"/>
        <v>1625.54</v>
      </c>
      <c r="L709" s="178"/>
      <c r="M709" s="139">
        <v>1</v>
      </c>
      <c r="N709" s="139">
        <v>1477.6</v>
      </c>
      <c r="O709" s="139"/>
      <c r="P709" s="37">
        <f t="shared" si="199"/>
        <v>41.55</v>
      </c>
      <c r="Q709" s="99">
        <f>$Q$22</f>
        <v>25</v>
      </c>
      <c r="R709" s="163">
        <f>$R$22</f>
        <v>0.03</v>
      </c>
      <c r="S709" s="99">
        <f>$S$22</f>
        <v>12</v>
      </c>
      <c r="T709" s="99">
        <f>$T$22</f>
        <v>3.5</v>
      </c>
      <c r="U709" s="99">
        <f>$U$22</f>
        <v>0.3</v>
      </c>
      <c r="V709" s="37">
        <f t="shared" si="200"/>
        <v>1477.6011</v>
      </c>
      <c r="W709" s="139"/>
      <c r="X709" s="139"/>
      <c r="Y709" s="139"/>
      <c r="Z709" s="139"/>
      <c r="AA709" s="139"/>
      <c r="AB709" s="139"/>
      <c r="AC709" s="139"/>
      <c r="AD709" s="139"/>
      <c r="AE709" s="139"/>
      <c r="AF709" s="140"/>
      <c r="AG709" s="140"/>
      <c r="AH709" s="140"/>
      <c r="AI709" s="140"/>
      <c r="AJ709" s="140"/>
      <c r="AK709" s="140"/>
      <c r="AL709" s="140"/>
      <c r="AM709" s="140"/>
      <c r="AN709" s="140"/>
      <c r="AO709" s="140"/>
      <c r="AP709" s="140"/>
      <c r="AQ709" s="140"/>
      <c r="AR709" s="140"/>
      <c r="AS709" s="140"/>
      <c r="AT709" s="140"/>
      <c r="AU709" s="140"/>
      <c r="AV709" s="140"/>
      <c r="AW709" s="140"/>
      <c r="AX709" s="140"/>
      <c r="AY709" s="140"/>
      <c r="AZ709" s="140"/>
      <c r="BA709" s="140"/>
      <c r="BB709" s="140"/>
      <c r="BC709" s="140"/>
      <c r="BD709" s="140"/>
      <c r="BE709" s="140"/>
    </row>
    <row r="710" s="119" customFormat="1" ht="24" customHeight="1" outlineLevel="1" spans="1:57">
      <c r="A710" s="141"/>
      <c r="B710" s="14" t="s">
        <v>101</v>
      </c>
      <c r="C710" s="15"/>
      <c r="D710" s="142"/>
      <c r="E710" s="143"/>
      <c r="F710" s="143"/>
      <c r="G710" s="143"/>
      <c r="H710" s="143"/>
      <c r="I710" s="143"/>
      <c r="J710" s="143"/>
      <c r="K710" s="144"/>
      <c r="L710" s="178"/>
      <c r="M710" s="139"/>
      <c r="N710" s="139"/>
      <c r="O710" s="139"/>
      <c r="P710" s="137"/>
      <c r="Q710" s="137"/>
      <c r="R710" s="138"/>
      <c r="S710" s="137"/>
      <c r="T710" s="137"/>
      <c r="U710" s="137"/>
      <c r="V710" s="137"/>
      <c r="W710" s="139"/>
      <c r="X710" s="139"/>
      <c r="Y710" s="139"/>
      <c r="Z710" s="139"/>
      <c r="AA710" s="139"/>
      <c r="AB710" s="139"/>
      <c r="AC710" s="139"/>
      <c r="AD710" s="139"/>
      <c r="AE710" s="139"/>
      <c r="AF710" s="140"/>
      <c r="AG710" s="140"/>
      <c r="AH710" s="140"/>
      <c r="AI710" s="140"/>
      <c r="AJ710" s="140"/>
      <c r="AK710" s="140"/>
      <c r="AL710" s="140"/>
      <c r="AM710" s="140"/>
      <c r="AN710" s="140"/>
      <c r="AO710" s="140"/>
      <c r="AP710" s="140"/>
      <c r="AQ710" s="140"/>
      <c r="AR710" s="140"/>
      <c r="AS710" s="140"/>
      <c r="AT710" s="140"/>
      <c r="AU710" s="140"/>
      <c r="AV710" s="140"/>
      <c r="AW710" s="140"/>
      <c r="AX710" s="140"/>
      <c r="AY710" s="140"/>
      <c r="AZ710" s="140"/>
      <c r="BA710" s="140"/>
      <c r="BB710" s="140"/>
      <c r="BC710" s="140"/>
      <c r="BD710" s="140"/>
      <c r="BE710" s="140"/>
    </row>
    <row r="711" s="119" customFormat="1" ht="96" customHeight="1" outlineLevel="2" spans="1:57">
      <c r="A711" s="162">
        <f>1+N(A710)</f>
        <v>1</v>
      </c>
      <c r="B711" s="14" t="s">
        <v>102</v>
      </c>
      <c r="C711" s="167" t="s">
        <v>103</v>
      </c>
      <c r="D711" s="142" t="s">
        <v>63</v>
      </c>
      <c r="E711" s="143">
        <v>42.13</v>
      </c>
      <c r="F711" s="143">
        <f>$F$28</f>
        <v>70</v>
      </c>
      <c r="G711" s="143">
        <f>$G$28</f>
        <v>0</v>
      </c>
      <c r="H711" s="143">
        <f>$H$28</f>
        <v>66.711</v>
      </c>
      <c r="I711" s="17">
        <f>(F711+G711+H711)*$I$3</f>
        <v>13.6711</v>
      </c>
      <c r="J711" s="18">
        <f>ROUND(SUM(F711:I711),2)</f>
        <v>150.38</v>
      </c>
      <c r="K711" s="19">
        <f>ROUND(J711*E711,2)</f>
        <v>6335.51</v>
      </c>
      <c r="L711" s="178"/>
      <c r="M711" s="139">
        <v>1</v>
      </c>
      <c r="N711" s="139">
        <v>5759.59</v>
      </c>
      <c r="O711" s="139"/>
      <c r="P711" s="37">
        <f>Q711+Q711*R711+S711+T711+U711</f>
        <v>136.711</v>
      </c>
      <c r="Q711" s="99">
        <f>$Q$28</f>
        <v>0</v>
      </c>
      <c r="R711" s="163">
        <f>$R$28</f>
        <v>0.01</v>
      </c>
      <c r="S711" s="99">
        <f>$S$28</f>
        <v>70</v>
      </c>
      <c r="T711" s="99">
        <f>$T$28</f>
        <v>64.711</v>
      </c>
      <c r="U711" s="99">
        <f>$U$28</f>
        <v>2</v>
      </c>
      <c r="V711" s="37">
        <f>P711*E711</f>
        <v>5759.63443</v>
      </c>
      <c r="W711" s="139"/>
      <c r="X711" s="139"/>
      <c r="Y711" s="139"/>
      <c r="Z711" s="139"/>
      <c r="AA711" s="139"/>
      <c r="AB711" s="139"/>
      <c r="AC711" s="139"/>
      <c r="AD711" s="139"/>
      <c r="AE711" s="139"/>
      <c r="AF711" s="140"/>
      <c r="AG711" s="140"/>
      <c r="AH711" s="140"/>
      <c r="AI711" s="140"/>
      <c r="AJ711" s="140"/>
      <c r="AK711" s="140"/>
      <c r="AL711" s="140"/>
      <c r="AM711" s="140"/>
      <c r="AN711" s="140"/>
      <c r="AO711" s="140"/>
      <c r="AP711" s="140"/>
      <c r="AQ711" s="140"/>
      <c r="AR711" s="140"/>
      <c r="AS711" s="140"/>
      <c r="AT711" s="140"/>
      <c r="AU711" s="140"/>
      <c r="AV711" s="140"/>
      <c r="AW711" s="140"/>
      <c r="AX711" s="140"/>
      <c r="AY711" s="140"/>
      <c r="AZ711" s="140"/>
      <c r="BA711" s="140"/>
      <c r="BB711" s="140"/>
      <c r="BC711" s="140"/>
      <c r="BD711" s="140"/>
      <c r="BE711" s="140"/>
    </row>
    <row r="712" s="119" customFormat="1" ht="72" customHeight="1" outlineLevel="2" spans="1:57">
      <c r="A712" s="162">
        <f>1+N(A711)</f>
        <v>2</v>
      </c>
      <c r="B712" s="14" t="s">
        <v>266</v>
      </c>
      <c r="C712" s="15" t="s">
        <v>267</v>
      </c>
      <c r="D712" s="142" t="s">
        <v>63</v>
      </c>
      <c r="E712" s="143">
        <v>7.33</v>
      </c>
      <c r="F712" s="143">
        <f>$F$469</f>
        <v>75</v>
      </c>
      <c r="G712" s="143">
        <f>$G$469</f>
        <v>330</v>
      </c>
      <c r="H712" s="143">
        <f>$H$469</f>
        <v>28</v>
      </c>
      <c r="I712" s="17">
        <f>(F712+G712+H712)*$I$3</f>
        <v>43.3</v>
      </c>
      <c r="J712" s="18">
        <f>ROUND(SUM(F712:I712),2)</f>
        <v>476.3</v>
      </c>
      <c r="K712" s="19">
        <f>ROUND(J712*E712,2)</f>
        <v>3491.28</v>
      </c>
      <c r="L712" s="178"/>
      <c r="M712" s="139">
        <v>1</v>
      </c>
      <c r="N712" s="139">
        <v>3173.89</v>
      </c>
      <c r="O712" s="139"/>
      <c r="P712" s="37">
        <f>Q712+Q712*R712+S712+T712+U712</f>
        <v>433</v>
      </c>
      <c r="Q712" s="99">
        <f>$Q$469</f>
        <v>330</v>
      </c>
      <c r="R712" s="163">
        <f>$R$469</f>
        <v>0</v>
      </c>
      <c r="S712" s="99">
        <f>$S$469</f>
        <v>75</v>
      </c>
      <c r="T712" s="99">
        <f>$T$469</f>
        <v>25</v>
      </c>
      <c r="U712" s="99">
        <f>$U$469</f>
        <v>3</v>
      </c>
      <c r="V712" s="37">
        <f>P712*E712</f>
        <v>3173.89</v>
      </c>
      <c r="W712" s="139"/>
      <c r="X712" s="139"/>
      <c r="Y712" s="139"/>
      <c r="Z712" s="139"/>
      <c r="AA712" s="139"/>
      <c r="AB712" s="139"/>
      <c r="AC712" s="139"/>
      <c r="AD712" s="139"/>
      <c r="AE712" s="139"/>
      <c r="AF712" s="140"/>
      <c r="AG712" s="140"/>
      <c r="AH712" s="140"/>
      <c r="AI712" s="140"/>
      <c r="AJ712" s="140"/>
      <c r="AK712" s="140"/>
      <c r="AL712" s="140"/>
      <c r="AM712" s="140"/>
      <c r="AN712" s="140"/>
      <c r="AO712" s="140"/>
      <c r="AP712" s="140"/>
      <c r="AQ712" s="140"/>
      <c r="AR712" s="140"/>
      <c r="AS712" s="140"/>
      <c r="AT712" s="140"/>
      <c r="AU712" s="140"/>
      <c r="AV712" s="140"/>
      <c r="AW712" s="140"/>
      <c r="AX712" s="140"/>
      <c r="AY712" s="140"/>
      <c r="AZ712" s="140"/>
      <c r="BA712" s="140"/>
      <c r="BB712" s="140"/>
      <c r="BC712" s="140"/>
      <c r="BD712" s="140"/>
      <c r="BE712" s="140"/>
    </row>
    <row r="713" s="119" customFormat="1" ht="72" customHeight="1" outlineLevel="2" spans="1:57">
      <c r="A713" s="162">
        <f>1+N(A712)</f>
        <v>3</v>
      </c>
      <c r="B713" s="14" t="s">
        <v>108</v>
      </c>
      <c r="C713" s="15" t="s">
        <v>109</v>
      </c>
      <c r="D713" s="142" t="s">
        <v>70</v>
      </c>
      <c r="E713" s="143">
        <v>10.4</v>
      </c>
      <c r="F713" s="143">
        <f>$F$31</f>
        <v>30</v>
      </c>
      <c r="G713" s="143">
        <f>$G$31</f>
        <v>65.6625</v>
      </c>
      <c r="H713" s="143">
        <f>$H$31</f>
        <v>2.7</v>
      </c>
      <c r="I713" s="17">
        <f>(F713+G713+H713)*$I$3</f>
        <v>9.83625</v>
      </c>
      <c r="J713" s="18">
        <f>ROUND(SUM(F713:I713),2)</f>
        <v>108.2</v>
      </c>
      <c r="K713" s="19">
        <f>ROUND(J713*E713,2)</f>
        <v>1125.28</v>
      </c>
      <c r="L713" s="178"/>
      <c r="M713" s="139">
        <v>1</v>
      </c>
      <c r="N713" s="139">
        <v>1022.94</v>
      </c>
      <c r="O713" s="139"/>
      <c r="P713" s="37">
        <f>Q713+Q713*R713+S713+T713+U713</f>
        <v>98.3625</v>
      </c>
      <c r="Q713" s="99">
        <f>$Q$31</f>
        <v>63.75</v>
      </c>
      <c r="R713" s="163">
        <f>$R$31</f>
        <v>0.03</v>
      </c>
      <c r="S713" s="99">
        <f>$S$31</f>
        <v>30</v>
      </c>
      <c r="T713" s="99">
        <f>$T$31</f>
        <v>2.5</v>
      </c>
      <c r="U713" s="99">
        <f>$U$31</f>
        <v>0.2</v>
      </c>
      <c r="V713" s="37">
        <f>P713*E713</f>
        <v>1022.97</v>
      </c>
      <c r="W713" s="139"/>
      <c r="X713" s="139"/>
      <c r="Y713" s="139"/>
      <c r="Z713" s="139"/>
      <c r="AA713" s="139"/>
      <c r="AB713" s="139"/>
      <c r="AC713" s="139"/>
      <c r="AD713" s="139"/>
      <c r="AE713" s="139"/>
      <c r="AF713" s="140"/>
      <c r="AG713" s="140"/>
      <c r="AH713" s="140"/>
      <c r="AI713" s="140"/>
      <c r="AJ713" s="140"/>
      <c r="AK713" s="140"/>
      <c r="AL713" s="140"/>
      <c r="AM713" s="140"/>
      <c r="AN713" s="140"/>
      <c r="AO713" s="140"/>
      <c r="AP713" s="140"/>
      <c r="AQ713" s="140"/>
      <c r="AR713" s="140"/>
      <c r="AS713" s="140"/>
      <c r="AT713" s="140"/>
      <c r="AU713" s="140"/>
      <c r="AV713" s="140"/>
      <c r="AW713" s="140"/>
      <c r="AX713" s="140"/>
      <c r="AY713" s="140"/>
      <c r="AZ713" s="140"/>
      <c r="BA713" s="140"/>
      <c r="BB713" s="140"/>
      <c r="BC713" s="140"/>
      <c r="BD713" s="140"/>
      <c r="BE713" s="140"/>
    </row>
    <row r="714" s="119" customFormat="1" ht="72" customHeight="1" outlineLevel="2" spans="1:57">
      <c r="A714" s="162">
        <f>1+N(A713)</f>
        <v>4</v>
      </c>
      <c r="B714" s="14" t="s">
        <v>110</v>
      </c>
      <c r="C714" s="15" t="s">
        <v>111</v>
      </c>
      <c r="D714" s="142" t="s">
        <v>63</v>
      </c>
      <c r="E714" s="143">
        <v>42.13</v>
      </c>
      <c r="F714" s="143">
        <f>$F$32</f>
        <v>45</v>
      </c>
      <c r="G714" s="143">
        <f>$G$32</f>
        <v>85.5</v>
      </c>
      <c r="H714" s="143">
        <f>$H$32</f>
        <v>7.3</v>
      </c>
      <c r="I714" s="17">
        <f>(F714+G714+H714)*$I$3</f>
        <v>13.78</v>
      </c>
      <c r="J714" s="18">
        <f>ROUND(SUM(F714:I714),2)</f>
        <v>151.58</v>
      </c>
      <c r="K714" s="19">
        <f>ROUND(J714*E714,2)</f>
        <v>6386.07</v>
      </c>
      <c r="L714" s="178"/>
      <c r="M714" s="139">
        <v>1</v>
      </c>
      <c r="N714" s="139">
        <v>5805.51</v>
      </c>
      <c r="O714" s="139"/>
      <c r="P714" s="37">
        <f>Q714+Q714*R714+S714+T714+U714</f>
        <v>137.8</v>
      </c>
      <c r="Q714" s="99">
        <f>$Q$32</f>
        <v>85.5</v>
      </c>
      <c r="R714" s="163">
        <f>$R$32</f>
        <v>0</v>
      </c>
      <c r="S714" s="99">
        <f>$S$32</f>
        <v>45</v>
      </c>
      <c r="T714" s="99">
        <f>$T$32</f>
        <v>6.5</v>
      </c>
      <c r="U714" s="99">
        <f>$U$32</f>
        <v>0.8</v>
      </c>
      <c r="V714" s="37">
        <f>P714*E714</f>
        <v>5805.514</v>
      </c>
      <c r="W714" s="139"/>
      <c r="X714" s="139"/>
      <c r="Y714" s="139"/>
      <c r="Z714" s="139"/>
      <c r="AA714" s="139"/>
      <c r="AB714" s="139"/>
      <c r="AC714" s="139"/>
      <c r="AD714" s="139"/>
      <c r="AE714" s="139"/>
      <c r="AF714" s="140"/>
      <c r="AG714" s="140"/>
      <c r="AH714" s="140"/>
      <c r="AI714" s="140"/>
      <c r="AJ714" s="140"/>
      <c r="AK714" s="140"/>
      <c r="AL714" s="140"/>
      <c r="AM714" s="140"/>
      <c r="AN714" s="140"/>
      <c r="AO714" s="140"/>
      <c r="AP714" s="140"/>
      <c r="AQ714" s="140"/>
      <c r="AR714" s="140"/>
      <c r="AS714" s="140"/>
      <c r="AT714" s="140"/>
      <c r="AU714" s="140"/>
      <c r="AV714" s="140"/>
      <c r="AW714" s="140"/>
      <c r="AX714" s="140"/>
      <c r="AY714" s="140"/>
      <c r="AZ714" s="140"/>
      <c r="BA714" s="140"/>
      <c r="BB714" s="140"/>
      <c r="BC714" s="140"/>
      <c r="BD714" s="140"/>
      <c r="BE714" s="140"/>
    </row>
    <row r="715" s="119" customFormat="1" ht="72" customHeight="1" outlineLevel="2" spans="1:57">
      <c r="A715" s="162">
        <f>1+N(A714)</f>
        <v>5</v>
      </c>
      <c r="B715" s="14" t="s">
        <v>270</v>
      </c>
      <c r="C715" s="15" t="s">
        <v>271</v>
      </c>
      <c r="D715" s="142" t="s">
        <v>63</v>
      </c>
      <c r="E715" s="143">
        <v>7.33</v>
      </c>
      <c r="F715" s="143">
        <f>$F$475</f>
        <v>12</v>
      </c>
      <c r="G715" s="143">
        <f>$G$475</f>
        <v>5.5</v>
      </c>
      <c r="H715" s="143">
        <f>$H$475</f>
        <v>4.2682</v>
      </c>
      <c r="I715" s="17">
        <f>(F715+G715+H715)*$I$3</f>
        <v>2.17682</v>
      </c>
      <c r="J715" s="18">
        <f>ROUND(SUM(F715:I715),2)</f>
        <v>23.95</v>
      </c>
      <c r="K715" s="19">
        <f>ROUND(J715*E715,2)</f>
        <v>175.55</v>
      </c>
      <c r="L715" s="178"/>
      <c r="M715" s="139">
        <v>1</v>
      </c>
      <c r="N715" s="139">
        <v>159.57</v>
      </c>
      <c r="O715" s="139"/>
      <c r="P715" s="37">
        <f>Q715+Q715*R715+S715+T715+U715</f>
        <v>21.7682</v>
      </c>
      <c r="Q715" s="99">
        <f>$Q$475</f>
        <v>5.5</v>
      </c>
      <c r="R715" s="163">
        <f>$R$475</f>
        <v>0</v>
      </c>
      <c r="S715" s="99">
        <f>$S$475</f>
        <v>12</v>
      </c>
      <c r="T715" s="99">
        <f>$T$475</f>
        <v>3.9682</v>
      </c>
      <c r="U715" s="99">
        <f>$U$475</f>
        <v>0.3</v>
      </c>
      <c r="V715" s="37">
        <f>P715*E715</f>
        <v>159.560906</v>
      </c>
      <c r="W715" s="139"/>
      <c r="X715" s="139"/>
      <c r="Y715" s="139"/>
      <c r="Z715" s="139"/>
      <c r="AA715" s="139"/>
      <c r="AB715" s="139"/>
      <c r="AC715" s="139"/>
      <c r="AD715" s="139"/>
      <c r="AE715" s="139"/>
      <c r="AF715" s="140"/>
      <c r="AG715" s="140"/>
      <c r="AH715" s="140"/>
      <c r="AI715" s="140"/>
      <c r="AJ715" s="140"/>
      <c r="AK715" s="140"/>
      <c r="AL715" s="140"/>
      <c r="AM715" s="140"/>
      <c r="AN715" s="140"/>
      <c r="AO715" s="140"/>
      <c r="AP715" s="140"/>
      <c r="AQ715" s="140"/>
      <c r="AR715" s="140"/>
      <c r="AS715" s="140"/>
      <c r="AT715" s="140"/>
      <c r="AU715" s="140"/>
      <c r="AV715" s="140"/>
      <c r="AW715" s="140"/>
      <c r="AX715" s="140"/>
      <c r="AY715" s="140"/>
      <c r="AZ715" s="140"/>
      <c r="BA715" s="140"/>
      <c r="BB715" s="140"/>
      <c r="BC715" s="140"/>
      <c r="BD715" s="140"/>
      <c r="BE715" s="140"/>
    </row>
    <row r="716" s="119" customFormat="1" ht="24" customHeight="1" outlineLevel="1" spans="1:57">
      <c r="A716" s="141"/>
      <c r="B716" s="14" t="s">
        <v>112</v>
      </c>
      <c r="C716" s="15"/>
      <c r="D716" s="142"/>
      <c r="E716" s="143"/>
      <c r="F716" s="143"/>
      <c r="G716" s="143"/>
      <c r="H716" s="143"/>
      <c r="I716" s="143"/>
      <c r="J716" s="143"/>
      <c r="K716" s="144"/>
      <c r="L716" s="178"/>
      <c r="M716" s="139"/>
      <c r="N716" s="139"/>
      <c r="O716" s="139"/>
      <c r="P716" s="137"/>
      <c r="Q716" s="137"/>
      <c r="R716" s="138"/>
      <c r="S716" s="137"/>
      <c r="T716" s="137"/>
      <c r="U716" s="137"/>
      <c r="V716" s="137"/>
      <c r="W716" s="139"/>
      <c r="X716" s="139"/>
      <c r="Y716" s="139"/>
      <c r="Z716" s="139"/>
      <c r="AA716" s="139"/>
      <c r="AB716" s="139"/>
      <c r="AC716" s="139"/>
      <c r="AD716" s="139"/>
      <c r="AE716" s="139"/>
      <c r="AF716" s="140"/>
      <c r="AG716" s="140"/>
      <c r="AH716" s="140"/>
      <c r="AI716" s="140"/>
      <c r="AJ716" s="140"/>
      <c r="AK716" s="140"/>
      <c r="AL716" s="140"/>
      <c r="AM716" s="140"/>
      <c r="AN716" s="140"/>
      <c r="AO716" s="140"/>
      <c r="AP716" s="140"/>
      <c r="AQ716" s="140"/>
      <c r="AR716" s="140"/>
      <c r="AS716" s="140"/>
      <c r="AT716" s="140"/>
      <c r="AU716" s="140"/>
      <c r="AV716" s="140"/>
      <c r="AW716" s="140"/>
      <c r="AX716" s="140"/>
      <c r="AY716" s="140"/>
      <c r="AZ716" s="140"/>
      <c r="BA716" s="140"/>
      <c r="BB716" s="140"/>
      <c r="BC716" s="140"/>
      <c r="BD716" s="140"/>
      <c r="BE716" s="140"/>
    </row>
    <row r="717" s="119" customFormat="1" ht="72" customHeight="1" outlineLevel="2" spans="1:57">
      <c r="A717" s="162">
        <f>1+N(A716)</f>
        <v>1</v>
      </c>
      <c r="B717" s="14" t="s">
        <v>126</v>
      </c>
      <c r="C717" s="15" t="s">
        <v>114</v>
      </c>
      <c r="D717" s="142" t="s">
        <v>63</v>
      </c>
      <c r="E717" s="143">
        <f>0.8*3.4</f>
        <v>2.72</v>
      </c>
      <c r="F717" s="143">
        <f>$F$60</f>
        <v>165</v>
      </c>
      <c r="G717" s="143">
        <f>$G$60</f>
        <v>85</v>
      </c>
      <c r="H717" s="143">
        <f>$H$60</f>
        <v>355.1744</v>
      </c>
      <c r="I717" s="17">
        <f>(F717+G717+H717)*$I$3</f>
        <v>60.51744</v>
      </c>
      <c r="J717" s="18">
        <f>ROUND(SUM(F717:I717),2)</f>
        <v>665.69</v>
      </c>
      <c r="K717" s="19">
        <f>ROUND(J717*E717,2)</f>
        <v>1810.68</v>
      </c>
      <c r="L717" s="178"/>
      <c r="M717" s="139">
        <v>1</v>
      </c>
      <c r="N717" s="139">
        <v>1646.06</v>
      </c>
      <c r="O717" s="139"/>
      <c r="P717" s="37">
        <f>Q717+Q717*R717+S717+T717+U717</f>
        <v>605.1744</v>
      </c>
      <c r="Q717" s="99">
        <f>$Q$60</f>
        <v>85</v>
      </c>
      <c r="R717" s="163">
        <f>$R$60</f>
        <v>0</v>
      </c>
      <c r="S717" s="99">
        <f>$S$60</f>
        <v>165</v>
      </c>
      <c r="T717" s="99">
        <f>$T$60</f>
        <v>353.6744</v>
      </c>
      <c r="U717" s="99">
        <f>$U$60</f>
        <v>1.5</v>
      </c>
      <c r="V717" s="37">
        <f>P717*E717</f>
        <v>1646.074368</v>
      </c>
      <c r="W717" s="139"/>
      <c r="X717" s="139"/>
      <c r="Y717" s="139"/>
      <c r="Z717" s="139"/>
      <c r="AA717" s="139"/>
      <c r="AB717" s="139"/>
      <c r="AC717" s="139"/>
      <c r="AD717" s="139"/>
      <c r="AE717" s="139"/>
      <c r="AF717" s="140"/>
      <c r="AG717" s="140"/>
      <c r="AH717" s="140"/>
      <c r="AI717" s="140"/>
      <c r="AJ717" s="140"/>
      <c r="AK717" s="140"/>
      <c r="AL717" s="140"/>
      <c r="AM717" s="140"/>
      <c r="AN717" s="140"/>
      <c r="AO717" s="140"/>
      <c r="AP717" s="140"/>
      <c r="AQ717" s="140"/>
      <c r="AR717" s="140"/>
      <c r="AS717" s="140"/>
      <c r="AT717" s="140"/>
      <c r="AU717" s="140"/>
      <c r="AV717" s="140"/>
      <c r="AW717" s="140"/>
      <c r="AX717" s="140"/>
      <c r="AY717" s="140"/>
      <c r="AZ717" s="140"/>
      <c r="BA717" s="140"/>
      <c r="BB717" s="140"/>
      <c r="BC717" s="140"/>
      <c r="BD717" s="140"/>
      <c r="BE717" s="140"/>
    </row>
    <row r="718" s="119" customFormat="1" ht="24" customHeight="1" outlineLevel="1" spans="1:57">
      <c r="A718" s="132" t="s">
        <v>356</v>
      </c>
      <c r="B718" s="8" t="s">
        <v>357</v>
      </c>
      <c r="C718" s="180"/>
      <c r="D718" s="133"/>
      <c r="E718" s="134"/>
      <c r="F718" s="134"/>
      <c r="G718" s="134"/>
      <c r="H718" s="134"/>
      <c r="I718" s="134"/>
      <c r="J718" s="134"/>
      <c r="K718" s="11"/>
      <c r="L718" s="178"/>
      <c r="M718" s="139"/>
      <c r="N718" s="139"/>
      <c r="O718" s="139" t="str">
        <f>_xlfn.DISPIMG("ID_0E7C8EE907394257A9628C85485B294C",1)</f>
        <v>=DISPIMG("ID_0E7C8EE907394257A9628C85485B294C",1)</v>
      </c>
      <c r="P718" s="137"/>
      <c r="Q718" s="137"/>
      <c r="R718" s="138"/>
      <c r="S718" s="137"/>
      <c r="T718" s="137"/>
      <c r="U718" s="137"/>
      <c r="V718" s="137"/>
      <c r="W718" s="139"/>
      <c r="X718" s="139"/>
      <c r="Y718" s="139"/>
      <c r="Z718" s="139"/>
      <c r="AA718" s="139"/>
      <c r="AB718" s="139"/>
      <c r="AC718" s="139"/>
      <c r="AD718" s="139"/>
      <c r="AE718" s="139"/>
      <c r="AF718" s="140"/>
      <c r="AG718" s="140"/>
      <c r="AH718" s="140"/>
      <c r="AI718" s="140"/>
      <c r="AJ718" s="140"/>
      <c r="AK718" s="140"/>
      <c r="AL718" s="140"/>
      <c r="AM718" s="140"/>
      <c r="AN718" s="140"/>
      <c r="AO718" s="140"/>
      <c r="AP718" s="140"/>
      <c r="AQ718" s="140"/>
      <c r="AR718" s="140"/>
      <c r="AS718" s="140"/>
      <c r="AT718" s="140"/>
      <c r="AU718" s="140"/>
      <c r="AV718" s="140"/>
      <c r="AW718" s="140"/>
      <c r="AX718" s="140"/>
      <c r="AY718" s="140"/>
      <c r="AZ718" s="140"/>
      <c r="BA718" s="140"/>
      <c r="BB718" s="140"/>
      <c r="BC718" s="140"/>
      <c r="BD718" s="140"/>
      <c r="BE718" s="140"/>
    </row>
    <row r="719" s="119" customFormat="1" ht="24" customHeight="1" outlineLevel="1" spans="1:57">
      <c r="A719" s="141"/>
      <c r="B719" s="14" t="s">
        <v>60</v>
      </c>
      <c r="C719" s="15"/>
      <c r="D719" s="142"/>
      <c r="E719" s="143"/>
      <c r="F719" s="143"/>
      <c r="G719" s="143"/>
      <c r="H719" s="143"/>
      <c r="I719" s="143"/>
      <c r="J719" s="143"/>
      <c r="K719" s="144"/>
      <c r="L719" s="178"/>
      <c r="M719" s="139"/>
      <c r="N719" s="139"/>
      <c r="O719" s="139"/>
      <c r="P719" s="137"/>
      <c r="Q719" s="137"/>
      <c r="R719" s="138"/>
      <c r="S719" s="137"/>
      <c r="T719" s="137"/>
      <c r="U719" s="137"/>
      <c r="V719" s="137"/>
      <c r="W719" s="139"/>
      <c r="X719" s="139"/>
      <c r="Y719" s="139"/>
      <c r="Z719" s="139"/>
      <c r="AA719" s="139"/>
      <c r="AB719" s="139"/>
      <c r="AC719" s="139"/>
      <c r="AD719" s="139"/>
      <c r="AE719" s="139"/>
      <c r="AF719" s="140"/>
      <c r="AG719" s="140"/>
      <c r="AH719" s="140"/>
      <c r="AI719" s="140"/>
      <c r="AJ719" s="140"/>
      <c r="AK719" s="140"/>
      <c r="AL719" s="140"/>
      <c r="AM719" s="140"/>
      <c r="AN719" s="140"/>
      <c r="AO719" s="140"/>
      <c r="AP719" s="140"/>
      <c r="AQ719" s="140"/>
      <c r="AR719" s="140"/>
      <c r="AS719" s="140"/>
      <c r="AT719" s="140"/>
      <c r="AU719" s="140"/>
      <c r="AV719" s="140"/>
      <c r="AW719" s="140"/>
      <c r="AX719" s="140"/>
      <c r="AY719" s="140"/>
      <c r="AZ719" s="140"/>
      <c r="BA719" s="140"/>
      <c r="BB719" s="140"/>
      <c r="BC719" s="140"/>
      <c r="BD719" s="140"/>
      <c r="BE719" s="140"/>
    </row>
    <row r="720" s="119" customFormat="1" ht="96" customHeight="1" outlineLevel="2" spans="1:57">
      <c r="A720" s="162">
        <f>1+N(A719)</f>
        <v>1</v>
      </c>
      <c r="B720" s="14" t="s">
        <v>280</v>
      </c>
      <c r="C720" s="15" t="s">
        <v>281</v>
      </c>
      <c r="D720" s="142" t="s">
        <v>63</v>
      </c>
      <c r="E720" s="143">
        <v>20.55</v>
      </c>
      <c r="F720" s="143">
        <f>$F$503</f>
        <v>90</v>
      </c>
      <c r="G720" s="143">
        <f>$G$503</f>
        <v>164.8</v>
      </c>
      <c r="H720" s="17">
        <f>$H$503</f>
        <v>50.6</v>
      </c>
      <c r="I720" s="17">
        <f>(F720+G720+H720)*$I$3</f>
        <v>30.54</v>
      </c>
      <c r="J720" s="18">
        <f>ROUND(SUM(F720:I720),2)</f>
        <v>335.94</v>
      </c>
      <c r="K720" s="19">
        <f>ROUND(J720*E720,2)</f>
        <v>6903.57</v>
      </c>
      <c r="L720" s="178"/>
      <c r="M720" s="139">
        <v>1</v>
      </c>
      <c r="N720" s="139">
        <v>6275.97</v>
      </c>
      <c r="O720" s="139"/>
      <c r="P720" s="37">
        <f>Q720+Q720*R720+S720+T720+U720</f>
        <v>305.4</v>
      </c>
      <c r="Q720" s="99">
        <f>$Q$503</f>
        <v>160</v>
      </c>
      <c r="R720" s="163">
        <f>$R$503</f>
        <v>0.03</v>
      </c>
      <c r="S720" s="99">
        <f>$S$503</f>
        <v>90</v>
      </c>
      <c r="T720" s="99">
        <f>$T$503</f>
        <v>50.1</v>
      </c>
      <c r="U720" s="99">
        <f>$U$503</f>
        <v>0.5</v>
      </c>
      <c r="V720" s="37">
        <f>P720*E720</f>
        <v>6275.97</v>
      </c>
      <c r="W720" s="139"/>
      <c r="X720" s="139"/>
      <c r="Y720" s="139"/>
      <c r="Z720" s="139"/>
      <c r="AA720" s="139"/>
      <c r="AB720" s="139"/>
      <c r="AC720" s="139"/>
      <c r="AD720" s="139"/>
      <c r="AE720" s="139"/>
      <c r="AF720" s="140"/>
      <c r="AG720" s="140"/>
      <c r="AH720" s="140"/>
      <c r="AI720" s="140"/>
      <c r="AJ720" s="140"/>
      <c r="AK720" s="140"/>
      <c r="AL720" s="140"/>
      <c r="AM720" s="140"/>
      <c r="AN720" s="140"/>
      <c r="AO720" s="140"/>
      <c r="AP720" s="140"/>
      <c r="AQ720" s="140"/>
      <c r="AR720" s="140"/>
      <c r="AS720" s="140"/>
      <c r="AT720" s="140"/>
      <c r="AU720" s="140"/>
      <c r="AV720" s="140"/>
      <c r="AW720" s="140"/>
      <c r="AX720" s="140"/>
      <c r="AY720" s="140"/>
      <c r="AZ720" s="140"/>
      <c r="BA720" s="140"/>
      <c r="BB720" s="140"/>
      <c r="BC720" s="140"/>
      <c r="BD720" s="140"/>
      <c r="BE720" s="140"/>
    </row>
    <row r="721" s="119" customFormat="1" ht="96" customHeight="1" outlineLevel="2" spans="1:57">
      <c r="A721" s="162">
        <f>1+N(A720)</f>
        <v>2</v>
      </c>
      <c r="B721" s="14" t="s">
        <v>66</v>
      </c>
      <c r="C721" s="15" t="s">
        <v>67</v>
      </c>
      <c r="D721" s="142" t="s">
        <v>63</v>
      </c>
      <c r="E721" s="143">
        <v>3.52</v>
      </c>
      <c r="F721" s="143">
        <f>$F$9</f>
        <v>77</v>
      </c>
      <c r="G721" s="143">
        <f>$G$9</f>
        <v>56.65</v>
      </c>
      <c r="H721" s="17">
        <f>$H$9</f>
        <v>50.6</v>
      </c>
      <c r="I721" s="17">
        <f>(F721+G721+H721)*$I$3</f>
        <v>18.425</v>
      </c>
      <c r="J721" s="18">
        <f>ROUND(SUM(F721:I721),2)</f>
        <v>202.68</v>
      </c>
      <c r="K721" s="19">
        <f>ROUND(J721*E721,2)</f>
        <v>713.43</v>
      </c>
      <c r="L721" s="178"/>
      <c r="M721" s="139">
        <v>1</v>
      </c>
      <c r="N721" s="139">
        <v>648.56</v>
      </c>
      <c r="O721" s="139"/>
      <c r="P721" s="37">
        <f>Q721+Q721*R721+S721+T721+U721</f>
        <v>184.25</v>
      </c>
      <c r="Q721" s="99">
        <f>$Q$9</f>
        <v>55</v>
      </c>
      <c r="R721" s="163">
        <f>$R$9</f>
        <v>0.03</v>
      </c>
      <c r="S721" s="99">
        <f>$S$9</f>
        <v>77</v>
      </c>
      <c r="T721" s="99">
        <f>$T$9</f>
        <v>50.1</v>
      </c>
      <c r="U721" s="99">
        <f>$U$9</f>
        <v>0.5</v>
      </c>
      <c r="V721" s="37">
        <f>P721*E721</f>
        <v>648.56</v>
      </c>
      <c r="W721" s="139"/>
      <c r="X721" s="139"/>
      <c r="Y721" s="139"/>
      <c r="Z721" s="139"/>
      <c r="AA721" s="139"/>
      <c r="AB721" s="139"/>
      <c r="AC721" s="139"/>
      <c r="AD721" s="139"/>
      <c r="AE721" s="139"/>
      <c r="AF721" s="140"/>
      <c r="AG721" s="140"/>
      <c r="AH721" s="140"/>
      <c r="AI721" s="140"/>
      <c r="AJ721" s="140"/>
      <c r="AK721" s="140"/>
      <c r="AL721" s="140"/>
      <c r="AM721" s="140"/>
      <c r="AN721" s="140"/>
      <c r="AO721" s="140"/>
      <c r="AP721" s="140"/>
      <c r="AQ721" s="140"/>
      <c r="AR721" s="140"/>
      <c r="AS721" s="140"/>
      <c r="AT721" s="140"/>
      <c r="AU721" s="140"/>
      <c r="AV721" s="140"/>
      <c r="AW721" s="140"/>
      <c r="AX721" s="140"/>
      <c r="AY721" s="140"/>
      <c r="AZ721" s="140"/>
      <c r="BA721" s="140"/>
      <c r="BB721" s="140"/>
      <c r="BC721" s="140"/>
      <c r="BD721" s="140"/>
      <c r="BE721" s="140"/>
    </row>
    <row r="722" s="119" customFormat="1" ht="24" customHeight="1" outlineLevel="1" spans="1:57">
      <c r="A722" s="141"/>
      <c r="B722" s="14" t="s">
        <v>73</v>
      </c>
      <c r="C722" s="15"/>
      <c r="D722" s="142"/>
      <c r="E722" s="143"/>
      <c r="F722" s="143"/>
      <c r="G722" s="143"/>
      <c r="H722" s="143"/>
      <c r="I722" s="143"/>
      <c r="J722" s="143"/>
      <c r="K722" s="144"/>
      <c r="L722" s="178"/>
      <c r="M722" s="139"/>
      <c r="N722" s="139"/>
      <c r="O722" s="139"/>
      <c r="P722" s="137"/>
      <c r="Q722" s="137"/>
      <c r="R722" s="138"/>
      <c r="S722" s="137"/>
      <c r="T722" s="137"/>
      <c r="U722" s="137"/>
      <c r="V722" s="137"/>
      <c r="W722" s="139"/>
      <c r="X722" s="139"/>
      <c r="Y722" s="139"/>
      <c r="Z722" s="139"/>
      <c r="AA722" s="139"/>
      <c r="AB722" s="139"/>
      <c r="AC722" s="139"/>
      <c r="AD722" s="139"/>
      <c r="AE722" s="139"/>
      <c r="AF722" s="140"/>
      <c r="AG722" s="140"/>
      <c r="AH722" s="140"/>
      <c r="AI722" s="140"/>
      <c r="AJ722" s="140"/>
      <c r="AK722" s="140"/>
      <c r="AL722" s="140"/>
      <c r="AM722" s="140"/>
      <c r="AN722" s="140"/>
      <c r="AO722" s="140"/>
      <c r="AP722" s="140"/>
      <c r="AQ722" s="140"/>
      <c r="AR722" s="140"/>
      <c r="AS722" s="140"/>
      <c r="AT722" s="140"/>
      <c r="AU722" s="140"/>
      <c r="AV722" s="140"/>
      <c r="AW722" s="140"/>
      <c r="AX722" s="140"/>
      <c r="AY722" s="140"/>
      <c r="AZ722" s="140"/>
      <c r="BA722" s="140"/>
      <c r="BB722" s="140"/>
      <c r="BC722" s="140"/>
      <c r="BD722" s="140"/>
      <c r="BE722" s="140"/>
    </row>
    <row r="723" s="119" customFormat="1" ht="60" customHeight="1" outlineLevel="2" spans="1:57">
      <c r="A723" s="162">
        <f>1+N(A722)</f>
        <v>1</v>
      </c>
      <c r="B723" s="164" t="s">
        <v>80</v>
      </c>
      <c r="C723" s="15" t="s">
        <v>81</v>
      </c>
      <c r="D723" s="142" t="s">
        <v>63</v>
      </c>
      <c r="E723" s="143">
        <v>21.526</v>
      </c>
      <c r="F723" s="143">
        <f>$F$16</f>
        <v>91.5</v>
      </c>
      <c r="G723" s="143">
        <f>$G$16</f>
        <v>5.555</v>
      </c>
      <c r="H723" s="143">
        <f>$H$16</f>
        <v>56.797</v>
      </c>
      <c r="I723" s="17">
        <f>(F723+G723+H723)*$I$3</f>
        <v>15.3852</v>
      </c>
      <c r="J723" s="18">
        <f>ROUND(SUM(F723:I723),2)</f>
        <v>169.24</v>
      </c>
      <c r="K723" s="19">
        <f>ROUND(J723*E723,2)</f>
        <v>3643.06</v>
      </c>
      <c r="L723" s="178"/>
      <c r="M723" s="139">
        <v>1</v>
      </c>
      <c r="N723" s="139">
        <v>3311.78</v>
      </c>
      <c r="O723" s="139"/>
      <c r="P723" s="37">
        <f>Q723+Q723*R723+S723+T723+U723</f>
        <v>153.852</v>
      </c>
      <c r="Q723" s="99">
        <f>$Q$16</f>
        <v>5.5</v>
      </c>
      <c r="R723" s="163">
        <f>$R$16</f>
        <v>0.01</v>
      </c>
      <c r="S723" s="99">
        <f>$S$16</f>
        <v>91.5</v>
      </c>
      <c r="T723" s="99">
        <f>$T$16</f>
        <v>55.997</v>
      </c>
      <c r="U723" s="99">
        <f>$U$16</f>
        <v>0.8</v>
      </c>
      <c r="V723" s="37">
        <f>P723*E723</f>
        <v>3311.818152</v>
      </c>
      <c r="W723" s="139"/>
      <c r="X723" s="139"/>
      <c r="Y723" s="139"/>
      <c r="Z723" s="139"/>
      <c r="AA723" s="139"/>
      <c r="AB723" s="139"/>
      <c r="AC723" s="139"/>
      <c r="AD723" s="139"/>
      <c r="AE723" s="139"/>
      <c r="AF723" s="140"/>
      <c r="AG723" s="140"/>
      <c r="AH723" s="140"/>
      <c r="AI723" s="140"/>
      <c r="AJ723" s="140"/>
      <c r="AK723" s="140"/>
      <c r="AL723" s="140"/>
      <c r="AM723" s="140"/>
      <c r="AN723" s="140"/>
      <c r="AO723" s="140"/>
      <c r="AP723" s="140"/>
      <c r="AQ723" s="140"/>
      <c r="AR723" s="140"/>
      <c r="AS723" s="140"/>
      <c r="AT723" s="140"/>
      <c r="AU723" s="140"/>
      <c r="AV723" s="140"/>
      <c r="AW723" s="140"/>
      <c r="AX723" s="140"/>
      <c r="AY723" s="140"/>
      <c r="AZ723" s="140"/>
      <c r="BA723" s="140"/>
      <c r="BB723" s="140"/>
      <c r="BC723" s="140"/>
      <c r="BD723" s="140"/>
      <c r="BE723" s="140"/>
    </row>
    <row r="724" s="119" customFormat="1" ht="60" customHeight="1" outlineLevel="2" spans="1:57">
      <c r="A724" s="162">
        <f>1+N(A723)</f>
        <v>2</v>
      </c>
      <c r="B724" s="14" t="s">
        <v>89</v>
      </c>
      <c r="C724" s="15" t="s">
        <v>90</v>
      </c>
      <c r="D724" s="142" t="s">
        <v>63</v>
      </c>
      <c r="E724" s="143">
        <v>0.321</v>
      </c>
      <c r="F724" s="143">
        <f>$F$21</f>
        <v>120</v>
      </c>
      <c r="G724" s="143">
        <f>$G$21</f>
        <v>110.25</v>
      </c>
      <c r="H724" s="143">
        <f>$H$21</f>
        <v>17</v>
      </c>
      <c r="I724" s="17">
        <f>(F724+G724+H724)*$I$3</f>
        <v>24.725</v>
      </c>
      <c r="J724" s="18">
        <f>ROUND(SUM(F724:I724),2)</f>
        <v>271.98</v>
      </c>
      <c r="K724" s="19">
        <f>ROUND(J724*E724,2)</f>
        <v>87.31</v>
      </c>
      <c r="L724" s="178"/>
      <c r="M724" s="139">
        <v>1</v>
      </c>
      <c r="N724" s="139">
        <v>79.37</v>
      </c>
      <c r="O724" s="139"/>
      <c r="P724" s="37">
        <f>Q724+Q724*R724+S724+T724+U724</f>
        <v>247.25</v>
      </c>
      <c r="Q724" s="99">
        <f>$Q$21</f>
        <v>105</v>
      </c>
      <c r="R724" s="163">
        <f>$R$21</f>
        <v>0.05</v>
      </c>
      <c r="S724" s="99">
        <f>$S$21</f>
        <v>120</v>
      </c>
      <c r="T724" s="99">
        <f>$T$21</f>
        <v>16.5</v>
      </c>
      <c r="U724" s="99">
        <f>$U$21</f>
        <v>0.5</v>
      </c>
      <c r="V724" s="37">
        <f>P724*E724</f>
        <v>79.36725</v>
      </c>
      <c r="W724" s="139"/>
      <c r="X724" s="139"/>
      <c r="Y724" s="139"/>
      <c r="Z724" s="139"/>
      <c r="AA724" s="139"/>
      <c r="AB724" s="139"/>
      <c r="AC724" s="139"/>
      <c r="AD724" s="139"/>
      <c r="AE724" s="139"/>
      <c r="AF724" s="140"/>
      <c r="AG724" s="140"/>
      <c r="AH724" s="140"/>
      <c r="AI724" s="140"/>
      <c r="AJ724" s="140"/>
      <c r="AK724" s="140"/>
      <c r="AL724" s="140"/>
      <c r="AM724" s="140"/>
      <c r="AN724" s="140"/>
      <c r="AO724" s="140"/>
      <c r="AP724" s="140"/>
      <c r="AQ724" s="140"/>
      <c r="AR724" s="140"/>
      <c r="AS724" s="140"/>
      <c r="AT724" s="140"/>
      <c r="AU724" s="140"/>
      <c r="AV724" s="140"/>
      <c r="AW724" s="140"/>
      <c r="AX724" s="140"/>
      <c r="AY724" s="140"/>
      <c r="AZ724" s="140"/>
      <c r="BA724" s="140"/>
      <c r="BB724" s="140"/>
      <c r="BC724" s="140"/>
      <c r="BD724" s="140"/>
      <c r="BE724" s="140"/>
    </row>
    <row r="725" s="119" customFormat="1" ht="60" customHeight="1" outlineLevel="2" spans="1:57">
      <c r="A725" s="162">
        <f>1+N(A724)</f>
        <v>3</v>
      </c>
      <c r="B725" s="14" t="s">
        <v>82</v>
      </c>
      <c r="C725" s="15" t="s">
        <v>83</v>
      </c>
      <c r="D725" s="142" t="s">
        <v>63</v>
      </c>
      <c r="E725" s="143">
        <f>0.29*3.4+0.275*1.2</f>
        <v>1.316</v>
      </c>
      <c r="F725" s="143">
        <f>$F$17</f>
        <v>110</v>
      </c>
      <c r="G725" s="143">
        <f>$G$17</f>
        <v>454.5</v>
      </c>
      <c r="H725" s="143">
        <f>$H$17</f>
        <v>55.2</v>
      </c>
      <c r="I725" s="17">
        <f>(F725+G725+H725)*$I$3</f>
        <v>61.97</v>
      </c>
      <c r="J725" s="18">
        <f>ROUND(SUM(F725:I725),2)</f>
        <v>681.67</v>
      </c>
      <c r="K725" s="19">
        <f>ROUND(J725*E725,2)</f>
        <v>897.08</v>
      </c>
      <c r="L725" s="178"/>
      <c r="M725" s="139">
        <v>1</v>
      </c>
      <c r="N725" s="139">
        <v>815.53</v>
      </c>
      <c r="O725" s="139"/>
      <c r="P725" s="37">
        <f>Q725+Q725*R725+S725+T725+U725</f>
        <v>619.7</v>
      </c>
      <c r="Q725" s="99">
        <f>$Q$17</f>
        <v>450</v>
      </c>
      <c r="R725" s="163">
        <f>$R$17</f>
        <v>0.01</v>
      </c>
      <c r="S725" s="99">
        <f>$S$17</f>
        <v>110</v>
      </c>
      <c r="T725" s="99">
        <f>$T$17</f>
        <v>54</v>
      </c>
      <c r="U725" s="99">
        <f>$U$17</f>
        <v>1.2</v>
      </c>
      <c r="V725" s="37">
        <f>P725*E725</f>
        <v>815.5252</v>
      </c>
      <c r="W725" s="139"/>
      <c r="X725" s="139"/>
      <c r="Y725" s="139"/>
      <c r="Z725" s="139"/>
      <c r="AA725" s="139"/>
      <c r="AB725" s="139"/>
      <c r="AC725" s="139"/>
      <c r="AD725" s="139"/>
      <c r="AE725" s="139"/>
      <c r="AF725" s="140"/>
      <c r="AG725" s="140"/>
      <c r="AH725" s="140"/>
      <c r="AI725" s="140"/>
      <c r="AJ725" s="140"/>
      <c r="AK725" s="140"/>
      <c r="AL725" s="140"/>
      <c r="AM725" s="140"/>
      <c r="AN725" s="140"/>
      <c r="AO725" s="140"/>
      <c r="AP725" s="140"/>
      <c r="AQ725" s="140"/>
      <c r="AR725" s="140"/>
      <c r="AS725" s="140"/>
      <c r="AT725" s="140"/>
      <c r="AU725" s="140"/>
      <c r="AV725" s="140"/>
      <c r="AW725" s="140"/>
      <c r="AX725" s="140"/>
      <c r="AY725" s="140"/>
      <c r="AZ725" s="140"/>
      <c r="BA725" s="140"/>
      <c r="BB725" s="140"/>
      <c r="BC725" s="140"/>
      <c r="BD725" s="140"/>
      <c r="BE725" s="140"/>
    </row>
    <row r="726" s="119" customFormat="1" ht="24" customHeight="1" outlineLevel="1" spans="1:57">
      <c r="A726" s="141"/>
      <c r="B726" s="14" t="s">
        <v>101</v>
      </c>
      <c r="C726" s="15"/>
      <c r="D726" s="142"/>
      <c r="E726" s="143"/>
      <c r="F726" s="143"/>
      <c r="G726" s="143"/>
      <c r="H726" s="143"/>
      <c r="I726" s="143"/>
      <c r="J726" s="143"/>
      <c r="K726" s="144"/>
      <c r="L726" s="178"/>
      <c r="M726" s="139"/>
      <c r="N726" s="139"/>
      <c r="O726" s="139"/>
      <c r="P726" s="137"/>
      <c r="Q726" s="137"/>
      <c r="R726" s="138"/>
      <c r="S726" s="137"/>
      <c r="T726" s="137"/>
      <c r="U726" s="137"/>
      <c r="V726" s="137"/>
      <c r="W726" s="139"/>
      <c r="X726" s="139"/>
      <c r="Y726" s="139"/>
      <c r="Z726" s="139"/>
      <c r="AA726" s="139"/>
      <c r="AB726" s="139"/>
      <c r="AC726" s="139"/>
      <c r="AD726" s="139"/>
      <c r="AE726" s="139"/>
      <c r="AF726" s="140"/>
      <c r="AG726" s="140"/>
      <c r="AH726" s="140"/>
      <c r="AI726" s="140"/>
      <c r="AJ726" s="140"/>
      <c r="AK726" s="140"/>
      <c r="AL726" s="140"/>
      <c r="AM726" s="140"/>
      <c r="AN726" s="140"/>
      <c r="AO726" s="140"/>
      <c r="AP726" s="140"/>
      <c r="AQ726" s="140"/>
      <c r="AR726" s="140"/>
      <c r="AS726" s="140"/>
      <c r="AT726" s="140"/>
      <c r="AU726" s="140"/>
      <c r="AV726" s="140"/>
      <c r="AW726" s="140"/>
      <c r="AX726" s="140"/>
      <c r="AY726" s="140"/>
      <c r="AZ726" s="140"/>
      <c r="BA726" s="140"/>
      <c r="BB726" s="140"/>
      <c r="BC726" s="140"/>
      <c r="BD726" s="140"/>
      <c r="BE726" s="140"/>
    </row>
    <row r="727" s="119" customFormat="1" ht="72" customHeight="1" outlineLevel="2" spans="1:57">
      <c r="A727" s="162">
        <f>1+N(A726)</f>
        <v>1</v>
      </c>
      <c r="B727" s="14" t="s">
        <v>282</v>
      </c>
      <c r="C727" s="15" t="s">
        <v>283</v>
      </c>
      <c r="D727" s="142" t="s">
        <v>63</v>
      </c>
      <c r="E727" s="143">
        <f>20.55+3.52</f>
        <v>24.07</v>
      </c>
      <c r="F727" s="143">
        <f>$F$506</f>
        <v>28.5</v>
      </c>
      <c r="G727" s="143">
        <f>$G$506</f>
        <v>5.5</v>
      </c>
      <c r="H727" s="143">
        <f>$H$506</f>
        <v>6.8</v>
      </c>
      <c r="I727" s="17">
        <f>(F727+G727+H727)*$I$3</f>
        <v>4.08</v>
      </c>
      <c r="J727" s="18">
        <f>ROUND(SUM(F727:I727),2)</f>
        <v>44.88</v>
      </c>
      <c r="K727" s="19">
        <f>ROUND(J727*E727,2)</f>
        <v>1080.26</v>
      </c>
      <c r="L727" s="178"/>
      <c r="M727" s="139">
        <v>1</v>
      </c>
      <c r="N727" s="139">
        <v>982.06</v>
      </c>
      <c r="O727" s="139"/>
      <c r="P727" s="37">
        <f>Q727+Q727*R727+S727+T727+U727</f>
        <v>40.8</v>
      </c>
      <c r="Q727" s="99">
        <f>$Q$506</f>
        <v>5.5</v>
      </c>
      <c r="R727" s="163">
        <f>$R$506</f>
        <v>0</v>
      </c>
      <c r="S727" s="99">
        <f>$S$506</f>
        <v>28.5</v>
      </c>
      <c r="T727" s="99">
        <f>$T$506</f>
        <v>6.5</v>
      </c>
      <c r="U727" s="99">
        <f>$U$506</f>
        <v>0.3</v>
      </c>
      <c r="V727" s="37">
        <f>P727*E727</f>
        <v>982.056</v>
      </c>
      <c r="W727" s="139"/>
      <c r="X727" s="139"/>
      <c r="Y727" s="139"/>
      <c r="Z727" s="139"/>
      <c r="AA727" s="139"/>
      <c r="AB727" s="139"/>
      <c r="AC727" s="139"/>
      <c r="AD727" s="139"/>
      <c r="AE727" s="139"/>
      <c r="AF727" s="140"/>
      <c r="AG727" s="140"/>
      <c r="AH727" s="140"/>
      <c r="AI727" s="140"/>
      <c r="AJ727" s="140"/>
      <c r="AK727" s="140"/>
      <c r="AL727" s="140"/>
      <c r="AM727" s="140"/>
      <c r="AN727" s="140"/>
      <c r="AO727" s="140"/>
      <c r="AP727" s="140"/>
      <c r="AQ727" s="140"/>
      <c r="AR727" s="140"/>
      <c r="AS727" s="140"/>
      <c r="AT727" s="140"/>
      <c r="AU727" s="140"/>
      <c r="AV727" s="140"/>
      <c r="AW727" s="140"/>
      <c r="AX727" s="140"/>
      <c r="AY727" s="140"/>
      <c r="AZ727" s="140"/>
      <c r="BA727" s="140"/>
      <c r="BB727" s="140"/>
      <c r="BC727" s="140"/>
      <c r="BD727" s="140"/>
      <c r="BE727" s="140"/>
    </row>
    <row r="728" s="119" customFormat="1" ht="24" customHeight="1" outlineLevel="1" spans="1:57">
      <c r="A728" s="141"/>
      <c r="B728" s="14" t="s">
        <v>112</v>
      </c>
      <c r="C728" s="15"/>
      <c r="D728" s="142"/>
      <c r="E728" s="143"/>
      <c r="F728" s="143"/>
      <c r="G728" s="143"/>
      <c r="H728" s="143"/>
      <c r="I728" s="143"/>
      <c r="J728" s="143"/>
      <c r="K728" s="144"/>
      <c r="L728" s="178"/>
      <c r="M728" s="139"/>
      <c r="N728" s="139"/>
      <c r="O728" s="139"/>
      <c r="P728" s="137"/>
      <c r="Q728" s="137"/>
      <c r="R728" s="138"/>
      <c r="S728" s="137"/>
      <c r="T728" s="137"/>
      <c r="U728" s="137"/>
      <c r="V728" s="137"/>
      <c r="W728" s="139"/>
      <c r="X728" s="139"/>
      <c r="Y728" s="139"/>
      <c r="Z728" s="139"/>
      <c r="AA728" s="139"/>
      <c r="AB728" s="139"/>
      <c r="AC728" s="139"/>
      <c r="AD728" s="139"/>
      <c r="AE728" s="139"/>
      <c r="AF728" s="140"/>
      <c r="AG728" s="140"/>
      <c r="AH728" s="140"/>
      <c r="AI728" s="140"/>
      <c r="AJ728" s="140"/>
      <c r="AK728" s="140"/>
      <c r="AL728" s="140"/>
      <c r="AM728" s="140"/>
      <c r="AN728" s="140"/>
      <c r="AO728" s="140"/>
      <c r="AP728" s="140"/>
      <c r="AQ728" s="140"/>
      <c r="AR728" s="140"/>
      <c r="AS728" s="140"/>
      <c r="AT728" s="140"/>
      <c r="AU728" s="140"/>
      <c r="AV728" s="140"/>
      <c r="AW728" s="140"/>
      <c r="AX728" s="140"/>
      <c r="AY728" s="140"/>
      <c r="AZ728" s="140"/>
      <c r="BA728" s="140"/>
      <c r="BB728" s="140"/>
      <c r="BC728" s="140"/>
      <c r="BD728" s="140"/>
      <c r="BE728" s="140"/>
    </row>
    <row r="729" s="119" customFormat="1" ht="24" customHeight="1" outlineLevel="1" spans="1:57">
      <c r="A729" s="132" t="s">
        <v>358</v>
      </c>
      <c r="B729" s="8" t="s">
        <v>359</v>
      </c>
      <c r="C729" s="180"/>
      <c r="D729" s="133"/>
      <c r="E729" s="134"/>
      <c r="F729" s="134"/>
      <c r="G729" s="134"/>
      <c r="H729" s="134"/>
      <c r="I729" s="134"/>
      <c r="J729" s="134"/>
      <c r="K729" s="11"/>
      <c r="L729" s="178"/>
      <c r="M729" s="139"/>
      <c r="N729" s="139"/>
      <c r="O729" s="139" t="str">
        <f>_xlfn.DISPIMG("ID_3637BC63980E47D5800ED572B8F2992E",1)</f>
        <v>=DISPIMG("ID_3637BC63980E47D5800ED572B8F2992E",1)</v>
      </c>
      <c r="P729" s="137"/>
      <c r="Q729" s="137"/>
      <c r="R729" s="138"/>
      <c r="S729" s="137"/>
      <c r="T729" s="137"/>
      <c r="U729" s="137"/>
      <c r="V729" s="137"/>
      <c r="W729" s="139"/>
      <c r="X729" s="139"/>
      <c r="Y729" s="139"/>
      <c r="Z729" s="139"/>
      <c r="AA729" s="139"/>
      <c r="AB729" s="139"/>
      <c r="AC729" s="139"/>
      <c r="AD729" s="139"/>
      <c r="AE729" s="139"/>
      <c r="AF729" s="140"/>
      <c r="AG729" s="140"/>
      <c r="AH729" s="140"/>
      <c r="AI729" s="140"/>
      <c r="AJ729" s="140"/>
      <c r="AK729" s="140"/>
      <c r="AL729" s="140"/>
      <c r="AM729" s="140"/>
      <c r="AN729" s="140"/>
      <c r="AO729" s="140"/>
      <c r="AP729" s="140"/>
      <c r="AQ729" s="140"/>
      <c r="AR729" s="140"/>
      <c r="AS729" s="140"/>
      <c r="AT729" s="140"/>
      <c r="AU729" s="140"/>
      <c r="AV729" s="140"/>
      <c r="AW729" s="140"/>
      <c r="AX729" s="140"/>
      <c r="AY729" s="140"/>
      <c r="AZ729" s="140"/>
      <c r="BA729" s="140"/>
      <c r="BB729" s="140"/>
      <c r="BC729" s="140"/>
      <c r="BD729" s="140"/>
      <c r="BE729" s="140"/>
    </row>
    <row r="730" s="119" customFormat="1" ht="24" customHeight="1" outlineLevel="1" spans="1:57">
      <c r="A730" s="141"/>
      <c r="B730" s="14" t="s">
        <v>60</v>
      </c>
      <c r="C730" s="15"/>
      <c r="D730" s="142"/>
      <c r="E730" s="143"/>
      <c r="F730" s="143"/>
      <c r="G730" s="143"/>
      <c r="H730" s="143"/>
      <c r="I730" s="143"/>
      <c r="J730" s="143"/>
      <c r="K730" s="144"/>
      <c r="L730" s="178"/>
      <c r="M730" s="139"/>
      <c r="N730" s="139"/>
      <c r="O730" s="139"/>
      <c r="P730" s="137"/>
      <c r="Q730" s="137"/>
      <c r="R730" s="138"/>
      <c r="S730" s="137"/>
      <c r="T730" s="137"/>
      <c r="U730" s="137"/>
      <c r="V730" s="137"/>
      <c r="W730" s="139"/>
      <c r="X730" s="139"/>
      <c r="Y730" s="139"/>
      <c r="Z730" s="139"/>
      <c r="AA730" s="139"/>
      <c r="AB730" s="139"/>
      <c r="AC730" s="139"/>
      <c r="AD730" s="139"/>
      <c r="AE730" s="139"/>
      <c r="AF730" s="140"/>
      <c r="AG730" s="140"/>
      <c r="AH730" s="140"/>
      <c r="AI730" s="140"/>
      <c r="AJ730" s="140"/>
      <c r="AK730" s="140"/>
      <c r="AL730" s="140"/>
      <c r="AM730" s="140"/>
      <c r="AN730" s="140"/>
      <c r="AO730" s="140"/>
      <c r="AP730" s="140"/>
      <c r="AQ730" s="140"/>
      <c r="AR730" s="140"/>
      <c r="AS730" s="140"/>
      <c r="AT730" s="140"/>
      <c r="AU730" s="140"/>
      <c r="AV730" s="140"/>
      <c r="AW730" s="140"/>
      <c r="AX730" s="140"/>
      <c r="AY730" s="140"/>
      <c r="AZ730" s="140"/>
      <c r="BA730" s="140"/>
      <c r="BB730" s="140"/>
      <c r="BC730" s="140"/>
      <c r="BD730" s="140"/>
      <c r="BE730" s="140"/>
    </row>
    <row r="731" s="119" customFormat="1" ht="96" customHeight="1" outlineLevel="2" spans="1:57">
      <c r="A731" s="162">
        <f t="shared" ref="A731:A736" si="201">1+N(A730)</f>
        <v>1</v>
      </c>
      <c r="B731" s="14" t="s">
        <v>61</v>
      </c>
      <c r="C731" s="15" t="s">
        <v>62</v>
      </c>
      <c r="D731" s="142" t="s">
        <v>63</v>
      </c>
      <c r="E731" s="143">
        <v>9.6</v>
      </c>
      <c r="F731" s="143">
        <f>$F$7</f>
        <v>130</v>
      </c>
      <c r="G731" s="143">
        <f>$G$7</f>
        <v>628.3</v>
      </c>
      <c r="H731" s="17">
        <f>$H$7</f>
        <v>47.7</v>
      </c>
      <c r="I731" s="17">
        <f t="shared" ref="I731:I736" si="202">(F731+G731+H731)*$I$3</f>
        <v>80.6</v>
      </c>
      <c r="J731" s="18">
        <f t="shared" ref="J731:J736" si="203">ROUND(SUM(F731:I731),2)</f>
        <v>886.6</v>
      </c>
      <c r="K731" s="19">
        <f t="shared" ref="K731:K736" si="204">ROUND(J731*E731,2)</f>
        <v>8511.36</v>
      </c>
      <c r="L731" s="178"/>
      <c r="M731" s="139">
        <v>1</v>
      </c>
      <c r="N731" s="139">
        <v>7737.6</v>
      </c>
      <c r="O731" s="139"/>
      <c r="P731" s="37">
        <f t="shared" ref="P731:P736" si="205">Q731+Q731*R731+S731+T731+U731</f>
        <v>806</v>
      </c>
      <c r="Q731" s="99">
        <f>$Q$7</f>
        <v>610</v>
      </c>
      <c r="R731" s="163">
        <f>$R$7</f>
        <v>0.03</v>
      </c>
      <c r="S731" s="99">
        <f>$S$7</f>
        <v>130</v>
      </c>
      <c r="T731" s="99">
        <f>$T$7</f>
        <v>46.2</v>
      </c>
      <c r="U731" s="99">
        <f>$U$7</f>
        <v>1.5</v>
      </c>
      <c r="V731" s="37">
        <f t="shared" ref="V731:V736" si="206">P731*E731</f>
        <v>7737.6</v>
      </c>
      <c r="W731" s="139"/>
      <c r="X731" s="139"/>
      <c r="Y731" s="139"/>
      <c r="Z731" s="139"/>
      <c r="AA731" s="139"/>
      <c r="AB731" s="139"/>
      <c r="AC731" s="139"/>
      <c r="AD731" s="139"/>
      <c r="AE731" s="139"/>
      <c r="AF731" s="140"/>
      <c r="AG731" s="140"/>
      <c r="AH731" s="140"/>
      <c r="AI731" s="140"/>
      <c r="AJ731" s="140"/>
      <c r="AK731" s="140"/>
      <c r="AL731" s="140"/>
      <c r="AM731" s="140"/>
      <c r="AN731" s="140"/>
      <c r="AO731" s="140"/>
      <c r="AP731" s="140"/>
      <c r="AQ731" s="140"/>
      <c r="AR731" s="140"/>
      <c r="AS731" s="140"/>
      <c r="AT731" s="140"/>
      <c r="AU731" s="140"/>
      <c r="AV731" s="140"/>
      <c r="AW731" s="140"/>
      <c r="AX731" s="140"/>
      <c r="AY731" s="140"/>
      <c r="AZ731" s="140"/>
      <c r="BA731" s="140"/>
      <c r="BB731" s="140"/>
      <c r="BC731" s="140"/>
      <c r="BD731" s="140"/>
      <c r="BE731" s="140"/>
    </row>
    <row r="732" s="119" customFormat="1" ht="96" customHeight="1" outlineLevel="2" spans="1:57">
      <c r="A732" s="162">
        <f t="shared" si="201"/>
        <v>2</v>
      </c>
      <c r="B732" s="14" t="s">
        <v>220</v>
      </c>
      <c r="C732" s="15" t="s">
        <v>221</v>
      </c>
      <c r="D732" s="142" t="s">
        <v>63</v>
      </c>
      <c r="E732" s="143">
        <v>2.65</v>
      </c>
      <c r="F732" s="143">
        <f>$F$339</f>
        <v>130</v>
      </c>
      <c r="G732" s="143">
        <f>$G$339</f>
        <v>628.3</v>
      </c>
      <c r="H732" s="17">
        <f>$H$339</f>
        <v>47.7</v>
      </c>
      <c r="I732" s="17">
        <f t="shared" si="202"/>
        <v>80.6</v>
      </c>
      <c r="J732" s="18">
        <f t="shared" si="203"/>
        <v>886.6</v>
      </c>
      <c r="K732" s="19">
        <f t="shared" si="204"/>
        <v>2349.49</v>
      </c>
      <c r="L732" s="178"/>
      <c r="M732" s="139">
        <v>1</v>
      </c>
      <c r="N732" s="139">
        <v>2135.9</v>
      </c>
      <c r="O732" s="139"/>
      <c r="P732" s="37">
        <f t="shared" si="205"/>
        <v>806</v>
      </c>
      <c r="Q732" s="99">
        <f>$Q$339</f>
        <v>610</v>
      </c>
      <c r="R732" s="163">
        <f>$R$339</f>
        <v>0.03</v>
      </c>
      <c r="S732" s="99">
        <f>$S$339</f>
        <v>130</v>
      </c>
      <c r="T732" s="99">
        <f>$T$339</f>
        <v>46.2</v>
      </c>
      <c r="U732" s="99">
        <f>$U$339</f>
        <v>1.5</v>
      </c>
      <c r="V732" s="37">
        <f t="shared" si="206"/>
        <v>2135.9</v>
      </c>
      <c r="W732" s="139"/>
      <c r="X732" s="139"/>
      <c r="Y732" s="139"/>
      <c r="Z732" s="139"/>
      <c r="AA732" s="139"/>
      <c r="AB732" s="139"/>
      <c r="AC732" s="139"/>
      <c r="AD732" s="139"/>
      <c r="AE732" s="139"/>
      <c r="AF732" s="140"/>
      <c r="AG732" s="140"/>
      <c r="AH732" s="140"/>
      <c r="AI732" s="140"/>
      <c r="AJ732" s="140"/>
      <c r="AK732" s="140"/>
      <c r="AL732" s="140"/>
      <c r="AM732" s="140"/>
      <c r="AN732" s="140"/>
      <c r="AO732" s="140"/>
      <c r="AP732" s="140"/>
      <c r="AQ732" s="140"/>
      <c r="AR732" s="140"/>
      <c r="AS732" s="140"/>
      <c r="AT732" s="140"/>
      <c r="AU732" s="140"/>
      <c r="AV732" s="140"/>
      <c r="AW732" s="140"/>
      <c r="AX732" s="140"/>
      <c r="AY732" s="140"/>
      <c r="AZ732" s="140"/>
      <c r="BA732" s="140"/>
      <c r="BB732" s="140"/>
      <c r="BC732" s="140"/>
      <c r="BD732" s="140"/>
      <c r="BE732" s="140"/>
    </row>
    <row r="733" s="119" customFormat="1" ht="72" customHeight="1" outlineLevel="2" spans="1:57">
      <c r="A733" s="162">
        <f t="shared" si="201"/>
        <v>3</v>
      </c>
      <c r="B733" s="14" t="s">
        <v>325</v>
      </c>
      <c r="C733" s="15" t="s">
        <v>326</v>
      </c>
      <c r="D733" s="142" t="s">
        <v>63</v>
      </c>
      <c r="E733" s="143">
        <v>23.58</v>
      </c>
      <c r="F733" s="143">
        <f>$F$574</f>
        <v>36</v>
      </c>
      <c r="G733" s="143">
        <f>$G$574</f>
        <v>235.75</v>
      </c>
      <c r="H733" s="143">
        <f>$H$574</f>
        <v>17.5</v>
      </c>
      <c r="I733" s="17">
        <f t="shared" si="202"/>
        <v>28.925</v>
      </c>
      <c r="J733" s="18">
        <f t="shared" si="203"/>
        <v>318.18</v>
      </c>
      <c r="K733" s="19">
        <f t="shared" si="204"/>
        <v>7502.68</v>
      </c>
      <c r="L733" s="178"/>
      <c r="M733" s="139">
        <v>1</v>
      </c>
      <c r="N733" s="139">
        <v>6820.52</v>
      </c>
      <c r="O733" s="139"/>
      <c r="P733" s="37">
        <f t="shared" si="205"/>
        <v>289.25</v>
      </c>
      <c r="Q733" s="99">
        <f>$Q$574</f>
        <v>230</v>
      </c>
      <c r="R733" s="163">
        <f>$R$574</f>
        <v>0.025</v>
      </c>
      <c r="S733" s="99">
        <f>$S$574</f>
        <v>36</v>
      </c>
      <c r="T733" s="99">
        <f>$T$574</f>
        <v>17.5</v>
      </c>
      <c r="U733" s="99">
        <f>$U$574</f>
        <v>0</v>
      </c>
      <c r="V733" s="37">
        <f t="shared" si="206"/>
        <v>6820.515</v>
      </c>
      <c r="W733" s="139"/>
      <c r="X733" s="139"/>
      <c r="Y733" s="139"/>
      <c r="Z733" s="139"/>
      <c r="AA733" s="139"/>
      <c r="AB733" s="139"/>
      <c r="AC733" s="139"/>
      <c r="AD733" s="139"/>
      <c r="AE733" s="139"/>
      <c r="AF733" s="140"/>
      <c r="AG733" s="140"/>
      <c r="AH733" s="140"/>
      <c r="AI733" s="140"/>
      <c r="AJ733" s="140"/>
      <c r="AK733" s="140"/>
      <c r="AL733" s="140"/>
      <c r="AM733" s="140"/>
      <c r="AN733" s="140"/>
      <c r="AO733" s="140"/>
      <c r="AP733" s="140"/>
      <c r="AQ733" s="140"/>
      <c r="AR733" s="140"/>
      <c r="AS733" s="140"/>
      <c r="AT733" s="140"/>
      <c r="AU733" s="140"/>
      <c r="AV733" s="140"/>
      <c r="AW733" s="140"/>
      <c r="AX733" s="140"/>
      <c r="AY733" s="140"/>
      <c r="AZ733" s="140"/>
      <c r="BA733" s="140"/>
      <c r="BB733" s="140"/>
      <c r="BC733" s="140"/>
      <c r="BD733" s="140"/>
      <c r="BE733" s="140"/>
    </row>
    <row r="734" s="119" customFormat="1" ht="60" customHeight="1" outlineLevel="2" spans="1:57">
      <c r="A734" s="162">
        <f t="shared" si="201"/>
        <v>4</v>
      </c>
      <c r="B734" s="14" t="s">
        <v>168</v>
      </c>
      <c r="C734" s="15" t="s">
        <v>306</v>
      </c>
      <c r="D734" s="142" t="s">
        <v>63</v>
      </c>
      <c r="E734" s="143">
        <v>23.58</v>
      </c>
      <c r="F734" s="143">
        <f>$F$539</f>
        <v>28</v>
      </c>
      <c r="G734" s="143">
        <f>$G$539</f>
        <v>0</v>
      </c>
      <c r="H734" s="143">
        <f>$H$539</f>
        <v>31.8</v>
      </c>
      <c r="I734" s="17">
        <f t="shared" si="202"/>
        <v>5.98</v>
      </c>
      <c r="J734" s="18">
        <f t="shared" si="203"/>
        <v>65.78</v>
      </c>
      <c r="K734" s="19">
        <f t="shared" si="204"/>
        <v>1551.09</v>
      </c>
      <c r="L734" s="178"/>
      <c r="M734" s="139">
        <v>1</v>
      </c>
      <c r="N734" s="139">
        <v>1410.08</v>
      </c>
      <c r="O734" s="139"/>
      <c r="P734" s="37">
        <f t="shared" si="205"/>
        <v>59.8</v>
      </c>
      <c r="Q734" s="99">
        <f>$Q$539</f>
        <v>0</v>
      </c>
      <c r="R734" s="163">
        <f>$R$539</f>
        <v>0</v>
      </c>
      <c r="S734" s="99">
        <f>$S$539</f>
        <v>28</v>
      </c>
      <c r="T734" s="99">
        <f>$T$539</f>
        <v>31.5</v>
      </c>
      <c r="U734" s="99">
        <f>$U$539</f>
        <v>0.3</v>
      </c>
      <c r="V734" s="37">
        <f t="shared" si="206"/>
        <v>1410.084</v>
      </c>
      <c r="W734" s="139"/>
      <c r="X734" s="139"/>
      <c r="Y734" s="139"/>
      <c r="Z734" s="139"/>
      <c r="AA734" s="139"/>
      <c r="AB734" s="139"/>
      <c r="AC734" s="139"/>
      <c r="AD734" s="139"/>
      <c r="AE734" s="139"/>
      <c r="AF734" s="140"/>
      <c r="AG734" s="140"/>
      <c r="AH734" s="140"/>
      <c r="AI734" s="140"/>
      <c r="AJ734" s="140"/>
      <c r="AK734" s="140"/>
      <c r="AL734" s="140"/>
      <c r="AM734" s="140"/>
      <c r="AN734" s="140"/>
      <c r="AO734" s="140"/>
      <c r="AP734" s="140"/>
      <c r="AQ734" s="140"/>
      <c r="AR734" s="140"/>
      <c r="AS734" s="140"/>
      <c r="AT734" s="140"/>
      <c r="AU734" s="140"/>
      <c r="AV734" s="140"/>
      <c r="AW734" s="140"/>
      <c r="AX734" s="140"/>
      <c r="AY734" s="140"/>
      <c r="AZ734" s="140"/>
      <c r="BA734" s="140"/>
      <c r="BB734" s="140"/>
      <c r="BC734" s="140"/>
      <c r="BD734" s="140"/>
      <c r="BE734" s="140"/>
    </row>
    <row r="735" s="119" customFormat="1" ht="48" customHeight="1" outlineLevel="2" spans="1:57">
      <c r="A735" s="162">
        <f t="shared" si="201"/>
        <v>5</v>
      </c>
      <c r="B735" s="14" t="s">
        <v>71</v>
      </c>
      <c r="C735" s="15" t="s">
        <v>72</v>
      </c>
      <c r="D735" s="142" t="s">
        <v>63</v>
      </c>
      <c r="E735" s="143">
        <v>12.25</v>
      </c>
      <c r="F735" s="143">
        <f>$F$11</f>
        <v>40</v>
      </c>
      <c r="G735" s="143">
        <f>$G$11</f>
        <v>15</v>
      </c>
      <c r="H735" s="143">
        <f>$H$11</f>
        <v>0.8</v>
      </c>
      <c r="I735" s="17">
        <f t="shared" si="202"/>
        <v>5.58</v>
      </c>
      <c r="J735" s="18">
        <f t="shared" si="203"/>
        <v>61.38</v>
      </c>
      <c r="K735" s="19">
        <f t="shared" si="204"/>
        <v>751.91</v>
      </c>
      <c r="L735" s="178"/>
      <c r="M735" s="139">
        <v>1</v>
      </c>
      <c r="N735" s="139">
        <v>683.55</v>
      </c>
      <c r="O735" s="139"/>
      <c r="P735" s="37">
        <f t="shared" si="205"/>
        <v>55.8</v>
      </c>
      <c r="Q735" s="99">
        <f>$Q$11</f>
        <v>15</v>
      </c>
      <c r="R735" s="163">
        <f>$R$11</f>
        <v>0</v>
      </c>
      <c r="S735" s="99">
        <f>$S$11</f>
        <v>40</v>
      </c>
      <c r="T735" s="99">
        <f>$T$11</f>
        <v>0.5</v>
      </c>
      <c r="U735" s="99">
        <f>$U$11</f>
        <v>0.3</v>
      </c>
      <c r="V735" s="37">
        <f t="shared" si="206"/>
        <v>683.55</v>
      </c>
      <c r="W735" s="139"/>
      <c r="X735" s="139"/>
      <c r="Y735" s="139"/>
      <c r="Z735" s="139"/>
      <c r="AA735" s="139"/>
      <c r="AB735" s="139"/>
      <c r="AC735" s="139"/>
      <c r="AD735" s="139"/>
      <c r="AE735" s="139"/>
      <c r="AF735" s="140"/>
      <c r="AG735" s="140"/>
      <c r="AH735" s="140"/>
      <c r="AI735" s="140"/>
      <c r="AJ735" s="140"/>
      <c r="AK735" s="140"/>
      <c r="AL735" s="140"/>
      <c r="AM735" s="140"/>
      <c r="AN735" s="140"/>
      <c r="AO735" s="140"/>
      <c r="AP735" s="140"/>
      <c r="AQ735" s="140"/>
      <c r="AR735" s="140"/>
      <c r="AS735" s="140"/>
      <c r="AT735" s="140"/>
      <c r="AU735" s="140"/>
      <c r="AV735" s="140"/>
      <c r="AW735" s="140"/>
      <c r="AX735" s="140"/>
      <c r="AY735" s="140"/>
      <c r="AZ735" s="140"/>
      <c r="BA735" s="140"/>
      <c r="BB735" s="140"/>
      <c r="BC735" s="140"/>
      <c r="BD735" s="140"/>
      <c r="BE735" s="140"/>
    </row>
    <row r="736" s="119" customFormat="1" ht="36" customHeight="1" outlineLevel="2" spans="1:57">
      <c r="A736" s="162">
        <f t="shared" si="201"/>
        <v>6</v>
      </c>
      <c r="B736" s="14" t="s">
        <v>68</v>
      </c>
      <c r="C736" s="15" t="s">
        <v>69</v>
      </c>
      <c r="D736" s="142" t="s">
        <v>70</v>
      </c>
      <c r="E736" s="143">
        <v>5.66</v>
      </c>
      <c r="F736" s="143">
        <f>$F$10</f>
        <v>12</v>
      </c>
      <c r="G736" s="143">
        <f>$G$10</f>
        <v>19.57</v>
      </c>
      <c r="H736" s="143">
        <f>$H$10</f>
        <v>0.5</v>
      </c>
      <c r="I736" s="17">
        <f t="shared" si="202"/>
        <v>3.207</v>
      </c>
      <c r="J736" s="18">
        <f t="shared" si="203"/>
        <v>35.28</v>
      </c>
      <c r="K736" s="19">
        <f t="shared" si="204"/>
        <v>199.68</v>
      </c>
      <c r="L736" s="178"/>
      <c r="M736" s="139">
        <v>1</v>
      </c>
      <c r="N736" s="139">
        <v>181.52</v>
      </c>
      <c r="O736" s="139"/>
      <c r="P736" s="37">
        <f t="shared" si="205"/>
        <v>32.07</v>
      </c>
      <c r="Q736" s="99">
        <f>$Q$10</f>
        <v>19</v>
      </c>
      <c r="R736" s="163">
        <f>$R$10</f>
        <v>0.03</v>
      </c>
      <c r="S736" s="99">
        <f>$S$10</f>
        <v>12</v>
      </c>
      <c r="T736" s="99">
        <f>$T$10</f>
        <v>0.3</v>
      </c>
      <c r="U736" s="99">
        <f>$U$10</f>
        <v>0.2</v>
      </c>
      <c r="V736" s="37">
        <f t="shared" si="206"/>
        <v>181.5162</v>
      </c>
      <c r="W736" s="139"/>
      <c r="X736" s="139"/>
      <c r="Y736" s="139"/>
      <c r="Z736" s="139"/>
      <c r="AA736" s="139"/>
      <c r="AB736" s="139"/>
      <c r="AC736" s="139"/>
      <c r="AD736" s="139"/>
      <c r="AE736" s="139"/>
      <c r="AF736" s="140"/>
      <c r="AG736" s="140"/>
      <c r="AH736" s="140"/>
      <c r="AI736" s="140"/>
      <c r="AJ736" s="140"/>
      <c r="AK736" s="140"/>
      <c r="AL736" s="140"/>
      <c r="AM736" s="140"/>
      <c r="AN736" s="140"/>
      <c r="AO736" s="140"/>
      <c r="AP736" s="140"/>
      <c r="AQ736" s="140"/>
      <c r="AR736" s="140"/>
      <c r="AS736" s="140"/>
      <c r="AT736" s="140"/>
      <c r="AU736" s="140"/>
      <c r="AV736" s="140"/>
      <c r="AW736" s="140"/>
      <c r="AX736" s="140"/>
      <c r="AY736" s="140"/>
      <c r="AZ736" s="140"/>
      <c r="BA736" s="140"/>
      <c r="BB736" s="140"/>
      <c r="BC736" s="140"/>
      <c r="BD736" s="140"/>
      <c r="BE736" s="140"/>
    </row>
    <row r="737" s="119" customFormat="1" ht="24" customHeight="1" outlineLevel="1" spans="1:57">
      <c r="A737" s="141"/>
      <c r="B737" s="14" t="s">
        <v>73</v>
      </c>
      <c r="C737" s="15"/>
      <c r="D737" s="142"/>
      <c r="E737" s="143"/>
      <c r="F737" s="143"/>
      <c r="G737" s="143"/>
      <c r="H737" s="143"/>
      <c r="I737" s="143"/>
      <c r="J737" s="143"/>
      <c r="K737" s="144"/>
      <c r="L737" s="178"/>
      <c r="M737" s="139"/>
      <c r="N737" s="139"/>
      <c r="O737" s="139"/>
      <c r="P737" s="137"/>
      <c r="Q737" s="137"/>
      <c r="R737" s="138"/>
      <c r="S737" s="137"/>
      <c r="T737" s="137"/>
      <c r="U737" s="137"/>
      <c r="V737" s="137"/>
      <c r="W737" s="139"/>
      <c r="X737" s="139"/>
      <c r="Y737" s="139"/>
      <c r="Z737" s="139"/>
      <c r="AA737" s="139"/>
      <c r="AB737" s="139"/>
      <c r="AC737" s="139"/>
      <c r="AD737" s="139"/>
      <c r="AE737" s="139"/>
      <c r="AF737" s="140"/>
      <c r="AG737" s="140"/>
      <c r="AH737" s="140"/>
      <c r="AI737" s="140"/>
      <c r="AJ737" s="140"/>
      <c r="AK737" s="140"/>
      <c r="AL737" s="140"/>
      <c r="AM737" s="140"/>
      <c r="AN737" s="140"/>
      <c r="AO737" s="140"/>
      <c r="AP737" s="140"/>
      <c r="AQ737" s="140"/>
      <c r="AR737" s="140"/>
      <c r="AS737" s="140"/>
      <c r="AT737" s="140"/>
      <c r="AU737" s="140"/>
      <c r="AV737" s="140"/>
      <c r="AW737" s="140"/>
      <c r="AX737" s="140"/>
      <c r="AY737" s="140"/>
      <c r="AZ737" s="140"/>
      <c r="BA737" s="140"/>
      <c r="BB737" s="140"/>
      <c r="BC737" s="140"/>
      <c r="BD737" s="140"/>
      <c r="BE737" s="140"/>
    </row>
    <row r="738" s="119" customFormat="1" ht="60" customHeight="1" outlineLevel="2" spans="1:57">
      <c r="A738" s="162">
        <f t="shared" ref="A738:A743" si="207">1+N(A737)</f>
        <v>1</v>
      </c>
      <c r="B738" s="164" t="s">
        <v>174</v>
      </c>
      <c r="C738" s="15" t="s">
        <v>262</v>
      </c>
      <c r="D738" s="142" t="s">
        <v>63</v>
      </c>
      <c r="E738" s="143">
        <v>18.474</v>
      </c>
      <c r="F738" s="143">
        <f>$F$463</f>
        <v>110</v>
      </c>
      <c r="G738" s="143">
        <f>$G$463</f>
        <v>87.55</v>
      </c>
      <c r="H738" s="143">
        <f>$H$463</f>
        <v>126.35</v>
      </c>
      <c r="I738" s="17">
        <f t="shared" ref="I738:I743" si="208">(F738+G738+H738)*$I$3</f>
        <v>32.39</v>
      </c>
      <c r="J738" s="18">
        <f t="shared" ref="J738:J743" si="209">ROUND(SUM(F738:I738),2)</f>
        <v>356.29</v>
      </c>
      <c r="K738" s="19">
        <f t="shared" ref="K738:K743" si="210">ROUND(J738*E738,2)</f>
        <v>6582.1</v>
      </c>
      <c r="L738" s="178"/>
      <c r="M738" s="139">
        <v>1</v>
      </c>
      <c r="N738" s="139">
        <v>5983.73</v>
      </c>
      <c r="O738" s="139"/>
      <c r="P738" s="37">
        <f t="shared" ref="P738:P743" si="211">Q738+Q738*R738+S738+T738+U738</f>
        <v>323.9</v>
      </c>
      <c r="Q738" s="99">
        <f>$Q$463</f>
        <v>85</v>
      </c>
      <c r="R738" s="163">
        <f>$R$463</f>
        <v>0.03</v>
      </c>
      <c r="S738" s="99">
        <f>$S$463</f>
        <v>110</v>
      </c>
      <c r="T738" s="99">
        <f>$T$463</f>
        <v>125.75</v>
      </c>
      <c r="U738" s="99">
        <f>$U$463</f>
        <v>0.6</v>
      </c>
      <c r="V738" s="37">
        <f t="shared" ref="V738:V743" si="212">P738*E738</f>
        <v>5983.7286</v>
      </c>
      <c r="W738" s="139"/>
      <c r="X738" s="139"/>
      <c r="Y738" s="139"/>
      <c r="Z738" s="139"/>
      <c r="AA738" s="139"/>
      <c r="AB738" s="139"/>
      <c r="AC738" s="139"/>
      <c r="AD738" s="139"/>
      <c r="AE738" s="139"/>
      <c r="AF738" s="140"/>
      <c r="AG738" s="140"/>
      <c r="AH738" s="140"/>
      <c r="AI738" s="140"/>
      <c r="AJ738" s="140"/>
      <c r="AK738" s="140"/>
      <c r="AL738" s="140"/>
      <c r="AM738" s="140"/>
      <c r="AN738" s="140"/>
      <c r="AO738" s="140"/>
      <c r="AP738" s="140"/>
      <c r="AQ738" s="140"/>
      <c r="AR738" s="140"/>
      <c r="AS738" s="140"/>
      <c r="AT738" s="140"/>
      <c r="AU738" s="140"/>
      <c r="AV738" s="140"/>
      <c r="AW738" s="140"/>
      <c r="AX738" s="140"/>
      <c r="AY738" s="140"/>
      <c r="AZ738" s="140"/>
      <c r="BA738" s="140"/>
      <c r="BB738" s="140"/>
      <c r="BC738" s="140"/>
      <c r="BD738" s="140"/>
      <c r="BE738" s="140"/>
    </row>
    <row r="739" s="119" customFormat="1" ht="36" customHeight="1" outlineLevel="2" spans="1:57">
      <c r="A739" s="145">
        <f t="shared" si="207"/>
        <v>2</v>
      </c>
      <c r="B739" s="146" t="s">
        <v>360</v>
      </c>
      <c r="C739" s="147" t="s">
        <v>361</v>
      </c>
      <c r="D739" s="148" t="s">
        <v>63</v>
      </c>
      <c r="E739" s="149">
        <v>13.292</v>
      </c>
      <c r="F739" s="149">
        <f>S739*$S$1</f>
        <v>76.5</v>
      </c>
      <c r="G739" s="149">
        <f>Q739*(1+R739)*$Q$1</f>
        <v>457.7</v>
      </c>
      <c r="H739" s="149">
        <f>(T739+U739)*$T$1</f>
        <v>57</v>
      </c>
      <c r="I739" s="150">
        <f t="shared" si="208"/>
        <v>59.12</v>
      </c>
      <c r="J739" s="151">
        <f t="shared" si="209"/>
        <v>650.32</v>
      </c>
      <c r="K739" s="152">
        <f t="shared" si="210"/>
        <v>8644.05</v>
      </c>
      <c r="L739" s="178"/>
      <c r="M739" s="139">
        <v>1</v>
      </c>
      <c r="N739" s="139">
        <v>7858.23</v>
      </c>
      <c r="O739" s="139"/>
      <c r="P739" s="37">
        <f t="shared" si="211"/>
        <v>591.2</v>
      </c>
      <c r="Q739" s="71">
        <v>398</v>
      </c>
      <c r="R739" s="157">
        <v>0.15</v>
      </c>
      <c r="S739" s="71">
        <v>76.5</v>
      </c>
      <c r="T739" s="71">
        <v>56.5</v>
      </c>
      <c r="U739" s="71">
        <v>0.5</v>
      </c>
      <c r="V739" s="37">
        <f t="shared" si="212"/>
        <v>7858.2304</v>
      </c>
      <c r="W739" s="139"/>
      <c r="X739" s="139"/>
      <c r="Y739" s="139"/>
      <c r="Z739" s="139"/>
      <c r="AA739" s="139"/>
      <c r="AB739" s="139"/>
      <c r="AC739" s="139"/>
      <c r="AD739" s="139"/>
      <c r="AE739" s="139"/>
      <c r="AF739" s="140"/>
      <c r="AG739" s="140"/>
      <c r="AH739" s="140"/>
      <c r="AI739" s="140"/>
      <c r="AJ739" s="140"/>
      <c r="AK739" s="140"/>
      <c r="AL739" s="140"/>
      <c r="AM739" s="140"/>
      <c r="AN739" s="140"/>
      <c r="AO739" s="140"/>
      <c r="AP739" s="140"/>
      <c r="AQ739" s="140"/>
      <c r="AR739" s="140"/>
      <c r="AS739" s="140"/>
      <c r="AT739" s="140"/>
      <c r="AU739" s="140"/>
      <c r="AV739" s="140"/>
      <c r="AW739" s="140"/>
      <c r="AX739" s="140"/>
      <c r="AY739" s="140"/>
      <c r="AZ739" s="140"/>
      <c r="BA739" s="140"/>
      <c r="BB739" s="140"/>
      <c r="BC739" s="140"/>
      <c r="BD739" s="140"/>
      <c r="BE739" s="140"/>
    </row>
    <row r="740" s="119" customFormat="1" ht="36" customHeight="1" outlineLevel="2" spans="1:57">
      <c r="A740" s="162">
        <f t="shared" si="207"/>
        <v>3</v>
      </c>
      <c r="B740" s="14" t="s">
        <v>348</v>
      </c>
      <c r="C740" s="15" t="s">
        <v>349</v>
      </c>
      <c r="D740" s="142" t="s">
        <v>63</v>
      </c>
      <c r="E740" s="143">
        <v>25.177</v>
      </c>
      <c r="F740" s="143">
        <f>$F$683</f>
        <v>95</v>
      </c>
      <c r="G740" s="143">
        <f>$G$683</f>
        <v>132</v>
      </c>
      <c r="H740" s="143">
        <f>$H$683</f>
        <v>54.7</v>
      </c>
      <c r="I740" s="17">
        <f t="shared" si="208"/>
        <v>28.17</v>
      </c>
      <c r="J740" s="18">
        <f t="shared" si="209"/>
        <v>309.87</v>
      </c>
      <c r="K740" s="19">
        <f t="shared" si="210"/>
        <v>7801.6</v>
      </c>
      <c r="L740" s="178"/>
      <c r="M740" s="139">
        <v>1</v>
      </c>
      <c r="N740" s="139">
        <v>7092.36</v>
      </c>
      <c r="O740" s="139"/>
      <c r="P740" s="37">
        <f t="shared" si="211"/>
        <v>281.7</v>
      </c>
      <c r="Q740" s="99">
        <f>$Q$683</f>
        <v>120</v>
      </c>
      <c r="R740" s="163">
        <f>$R$683</f>
        <v>0.1</v>
      </c>
      <c r="S740" s="99">
        <f>$S$683</f>
        <v>95</v>
      </c>
      <c r="T740" s="99">
        <f>$T$683</f>
        <v>53.5</v>
      </c>
      <c r="U740" s="99">
        <f>$U$683</f>
        <v>1.2</v>
      </c>
      <c r="V740" s="37">
        <f t="shared" si="212"/>
        <v>7092.3609</v>
      </c>
      <c r="W740" s="139"/>
      <c r="X740" s="139"/>
      <c r="Y740" s="139"/>
      <c r="Z740" s="139"/>
      <c r="AA740" s="139"/>
      <c r="AB740" s="139"/>
      <c r="AC740" s="139"/>
      <c r="AD740" s="139"/>
      <c r="AE740" s="139"/>
      <c r="AF740" s="140"/>
      <c r="AG740" s="140"/>
      <c r="AH740" s="140"/>
      <c r="AI740" s="140"/>
      <c r="AJ740" s="140"/>
      <c r="AK740" s="140"/>
      <c r="AL740" s="140"/>
      <c r="AM740" s="140"/>
      <c r="AN740" s="140"/>
      <c r="AO740" s="140"/>
      <c r="AP740" s="140"/>
      <c r="AQ740" s="140"/>
      <c r="AR740" s="140"/>
      <c r="AS740" s="140"/>
      <c r="AT740" s="140"/>
      <c r="AU740" s="140"/>
      <c r="AV740" s="140"/>
      <c r="AW740" s="140"/>
      <c r="AX740" s="140"/>
      <c r="AY740" s="140"/>
      <c r="AZ740" s="140"/>
      <c r="BA740" s="140"/>
      <c r="BB740" s="140"/>
      <c r="BC740" s="140"/>
      <c r="BD740" s="140"/>
      <c r="BE740" s="140"/>
    </row>
    <row r="741" s="119" customFormat="1" ht="48" customHeight="1" outlineLevel="2" spans="1:57">
      <c r="A741" s="162">
        <f t="shared" si="207"/>
        <v>4</v>
      </c>
      <c r="B741" s="14" t="s">
        <v>82</v>
      </c>
      <c r="C741" s="15" t="s">
        <v>83</v>
      </c>
      <c r="D741" s="142" t="s">
        <v>63</v>
      </c>
      <c r="E741" s="143">
        <f>1.27*3.4*2+1.3*0.95</f>
        <v>9.871</v>
      </c>
      <c r="F741" s="143">
        <f>$F$17</f>
        <v>110</v>
      </c>
      <c r="G741" s="143">
        <f>$G$17</f>
        <v>454.5</v>
      </c>
      <c r="H741" s="143">
        <f>$H$17</f>
        <v>55.2</v>
      </c>
      <c r="I741" s="17">
        <f t="shared" si="208"/>
        <v>61.97</v>
      </c>
      <c r="J741" s="18">
        <f t="shared" si="209"/>
        <v>681.67</v>
      </c>
      <c r="K741" s="19">
        <f t="shared" si="210"/>
        <v>6728.76</v>
      </c>
      <c r="L741" s="178"/>
      <c r="M741" s="139">
        <v>1</v>
      </c>
      <c r="N741" s="139">
        <v>6117.06</v>
      </c>
      <c r="O741" s="139"/>
      <c r="P741" s="37">
        <f t="shared" si="211"/>
        <v>619.7</v>
      </c>
      <c r="Q741" s="99">
        <f>$Q$17</f>
        <v>450</v>
      </c>
      <c r="R741" s="163">
        <f>$R$17</f>
        <v>0.01</v>
      </c>
      <c r="S741" s="99">
        <f>$S$17</f>
        <v>110</v>
      </c>
      <c r="T741" s="99">
        <f>$T$17</f>
        <v>54</v>
      </c>
      <c r="U741" s="99">
        <f>$U$17</f>
        <v>1.2</v>
      </c>
      <c r="V741" s="37">
        <f t="shared" si="212"/>
        <v>6117.0587</v>
      </c>
      <c r="W741" s="139"/>
      <c r="X741" s="139"/>
      <c r="Y741" s="139"/>
      <c r="Z741" s="139"/>
      <c r="AA741" s="139"/>
      <c r="AB741" s="139"/>
      <c r="AC741" s="139"/>
      <c r="AD741" s="139"/>
      <c r="AE741" s="139"/>
      <c r="AF741" s="140"/>
      <c r="AG741" s="140"/>
      <c r="AH741" s="140"/>
      <c r="AI741" s="140"/>
      <c r="AJ741" s="140"/>
      <c r="AK741" s="140"/>
      <c r="AL741" s="140"/>
      <c r="AM741" s="140"/>
      <c r="AN741" s="140"/>
      <c r="AO741" s="140"/>
      <c r="AP741" s="140"/>
      <c r="AQ741" s="140"/>
      <c r="AR741" s="140"/>
      <c r="AS741" s="140"/>
      <c r="AT741" s="140"/>
      <c r="AU741" s="140"/>
      <c r="AV741" s="140"/>
      <c r="AW741" s="140"/>
      <c r="AX741" s="140"/>
      <c r="AY741" s="140"/>
      <c r="AZ741" s="140"/>
      <c r="BA741" s="140"/>
      <c r="BB741" s="140"/>
      <c r="BC741" s="140"/>
      <c r="BD741" s="140"/>
      <c r="BE741" s="140"/>
    </row>
    <row r="742" s="119" customFormat="1" ht="48" customHeight="1" outlineLevel="2" spans="1:57">
      <c r="A742" s="162">
        <f t="shared" si="207"/>
        <v>5</v>
      </c>
      <c r="B742" s="14" t="s">
        <v>91</v>
      </c>
      <c r="C742" s="15" t="s">
        <v>92</v>
      </c>
      <c r="D742" s="142" t="s">
        <v>70</v>
      </c>
      <c r="E742" s="143">
        <v>19.59</v>
      </c>
      <c r="F742" s="143">
        <f>$F$22</f>
        <v>12</v>
      </c>
      <c r="G742" s="143">
        <f>$G$22</f>
        <v>25.75</v>
      </c>
      <c r="H742" s="143">
        <f>$H$22</f>
        <v>3.8</v>
      </c>
      <c r="I742" s="17">
        <f t="shared" si="208"/>
        <v>4.155</v>
      </c>
      <c r="J742" s="18">
        <f t="shared" si="209"/>
        <v>45.71</v>
      </c>
      <c r="K742" s="19">
        <f t="shared" si="210"/>
        <v>895.46</v>
      </c>
      <c r="L742" s="178"/>
      <c r="M742" s="139">
        <v>1</v>
      </c>
      <c r="N742" s="139">
        <v>813.96</v>
      </c>
      <c r="O742" s="139"/>
      <c r="P742" s="37">
        <f t="shared" si="211"/>
        <v>41.55</v>
      </c>
      <c r="Q742" s="99">
        <f>$Q$22</f>
        <v>25</v>
      </c>
      <c r="R742" s="163">
        <f>$R$22</f>
        <v>0.03</v>
      </c>
      <c r="S742" s="99">
        <f>$S$22</f>
        <v>12</v>
      </c>
      <c r="T742" s="99">
        <f>$T$22</f>
        <v>3.5</v>
      </c>
      <c r="U742" s="99">
        <f>$U$22</f>
        <v>0.3</v>
      </c>
      <c r="V742" s="37">
        <f t="shared" si="212"/>
        <v>813.9645</v>
      </c>
      <c r="W742" s="139"/>
      <c r="X742" s="139"/>
      <c r="Y742" s="139"/>
      <c r="Z742" s="139"/>
      <c r="AA742" s="139"/>
      <c r="AB742" s="139"/>
      <c r="AC742" s="139"/>
      <c r="AD742" s="139"/>
      <c r="AE742" s="139"/>
      <c r="AF742" s="140"/>
      <c r="AG742" s="140"/>
      <c r="AH742" s="140"/>
      <c r="AI742" s="140"/>
      <c r="AJ742" s="140"/>
      <c r="AK742" s="140"/>
      <c r="AL742" s="140"/>
      <c r="AM742" s="140"/>
      <c r="AN742" s="140"/>
      <c r="AO742" s="140"/>
      <c r="AP742" s="140"/>
      <c r="AQ742" s="140"/>
      <c r="AR742" s="140"/>
      <c r="AS742" s="140"/>
      <c r="AT742" s="140"/>
      <c r="AU742" s="140"/>
      <c r="AV742" s="140"/>
      <c r="AW742" s="140"/>
      <c r="AX742" s="140"/>
      <c r="AY742" s="140"/>
      <c r="AZ742" s="140"/>
      <c r="BA742" s="140"/>
      <c r="BB742" s="140"/>
      <c r="BC742" s="140"/>
      <c r="BD742" s="140"/>
      <c r="BE742" s="140"/>
    </row>
    <row r="743" s="119" customFormat="1" ht="36" customHeight="1" outlineLevel="2" spans="1:57">
      <c r="A743" s="162">
        <f t="shared" si="207"/>
        <v>6</v>
      </c>
      <c r="B743" s="14" t="s">
        <v>239</v>
      </c>
      <c r="C743" s="15" t="s">
        <v>240</v>
      </c>
      <c r="D743" s="165" t="s">
        <v>63</v>
      </c>
      <c r="E743" s="143">
        <f>8.1*2*0.095</f>
        <v>1.539</v>
      </c>
      <c r="F743" s="143">
        <f>$F$356</f>
        <v>110</v>
      </c>
      <c r="G743" s="143">
        <f>$G$356</f>
        <v>454.5</v>
      </c>
      <c r="H743" s="143">
        <f>$H$356</f>
        <v>55.2</v>
      </c>
      <c r="I743" s="17">
        <f t="shared" si="208"/>
        <v>61.97</v>
      </c>
      <c r="J743" s="18">
        <f t="shared" si="209"/>
        <v>681.67</v>
      </c>
      <c r="K743" s="19">
        <f t="shared" si="210"/>
        <v>1049.09</v>
      </c>
      <c r="L743" s="178"/>
      <c r="M743" s="139">
        <v>1</v>
      </c>
      <c r="N743" s="139">
        <v>953.72</v>
      </c>
      <c r="O743" s="139"/>
      <c r="P743" s="37">
        <f t="shared" si="211"/>
        <v>619.7</v>
      </c>
      <c r="Q743" s="99">
        <f>$Q$356</f>
        <v>450</v>
      </c>
      <c r="R743" s="163">
        <f>$R$356</f>
        <v>0.01</v>
      </c>
      <c r="S743" s="99">
        <f>$S$356</f>
        <v>110</v>
      </c>
      <c r="T743" s="99">
        <f>$T$356</f>
        <v>54</v>
      </c>
      <c r="U743" s="99">
        <f>$U$356</f>
        <v>1.2</v>
      </c>
      <c r="V743" s="37">
        <f t="shared" si="212"/>
        <v>953.7183</v>
      </c>
      <c r="W743" s="139"/>
      <c r="X743" s="139"/>
      <c r="Y743" s="139"/>
      <c r="Z743" s="139"/>
      <c r="AA743" s="139"/>
      <c r="AB743" s="139"/>
      <c r="AC743" s="139"/>
      <c r="AD743" s="139"/>
      <c r="AE743" s="139"/>
      <c r="AF743" s="140"/>
      <c r="AG743" s="140"/>
      <c r="AH743" s="140"/>
      <c r="AI743" s="140"/>
      <c r="AJ743" s="140"/>
      <c r="AK743" s="140"/>
      <c r="AL743" s="140"/>
      <c r="AM743" s="140"/>
      <c r="AN743" s="140"/>
      <c r="AO743" s="140"/>
      <c r="AP743" s="140"/>
      <c r="AQ743" s="140"/>
      <c r="AR743" s="140"/>
      <c r="AS743" s="140"/>
      <c r="AT743" s="140"/>
      <c r="AU743" s="140"/>
      <c r="AV743" s="140"/>
      <c r="AW743" s="140"/>
      <c r="AX743" s="140"/>
      <c r="AY743" s="140"/>
      <c r="AZ743" s="140"/>
      <c r="BA743" s="140"/>
      <c r="BB743" s="140"/>
      <c r="BC743" s="140"/>
      <c r="BD743" s="140"/>
      <c r="BE743" s="140"/>
    </row>
    <row r="744" s="119" customFormat="1" ht="24" customHeight="1" outlineLevel="1" spans="1:57">
      <c r="A744" s="141"/>
      <c r="B744" s="14" t="s">
        <v>101</v>
      </c>
      <c r="C744" s="15"/>
      <c r="D744" s="142"/>
      <c r="E744" s="143"/>
      <c r="F744" s="143"/>
      <c r="G744" s="143"/>
      <c r="H744" s="143"/>
      <c r="I744" s="143"/>
      <c r="J744" s="143"/>
      <c r="K744" s="144"/>
      <c r="L744" s="178"/>
      <c r="M744" s="139"/>
      <c r="N744" s="139"/>
      <c r="O744" s="139"/>
      <c r="P744" s="137"/>
      <c r="Q744" s="137"/>
      <c r="R744" s="138"/>
      <c r="S744" s="137"/>
      <c r="T744" s="137"/>
      <c r="U744" s="137"/>
      <c r="V744" s="137"/>
      <c r="W744" s="139"/>
      <c r="X744" s="139"/>
      <c r="Y744" s="139"/>
      <c r="Z744" s="139"/>
      <c r="AA744" s="139"/>
      <c r="AB744" s="139"/>
      <c r="AC744" s="139"/>
      <c r="AD744" s="139"/>
      <c r="AE744" s="139"/>
      <c r="AF744" s="140"/>
      <c r="AG744" s="140"/>
      <c r="AH744" s="140"/>
      <c r="AI744" s="140"/>
      <c r="AJ744" s="140"/>
      <c r="AK744" s="140"/>
      <c r="AL744" s="140"/>
      <c r="AM744" s="140"/>
      <c r="AN744" s="140"/>
      <c r="AO744" s="140"/>
      <c r="AP744" s="140"/>
      <c r="AQ744" s="140"/>
      <c r="AR744" s="140"/>
      <c r="AS744" s="140"/>
      <c r="AT744" s="140"/>
      <c r="AU744" s="140"/>
      <c r="AV744" s="140"/>
      <c r="AW744" s="140"/>
      <c r="AX744" s="140"/>
      <c r="AY744" s="140"/>
      <c r="AZ744" s="140"/>
      <c r="BA744" s="140"/>
      <c r="BB744" s="140"/>
      <c r="BC744" s="140"/>
      <c r="BD744" s="140"/>
      <c r="BE744" s="140"/>
    </row>
    <row r="745" s="119" customFormat="1" ht="72" customHeight="1" outlineLevel="2" spans="1:57">
      <c r="A745" s="162">
        <f t="shared" ref="A745:A751" si="213">1+N(A744)</f>
        <v>1</v>
      </c>
      <c r="B745" s="14" t="s">
        <v>102</v>
      </c>
      <c r="C745" s="167" t="s">
        <v>103</v>
      </c>
      <c r="D745" s="142" t="s">
        <v>63</v>
      </c>
      <c r="E745" s="143">
        <f>26.23-9.82</f>
        <v>16.41</v>
      </c>
      <c r="F745" s="143">
        <f>$F$28</f>
        <v>70</v>
      </c>
      <c r="G745" s="143">
        <f>$G$28</f>
        <v>0</v>
      </c>
      <c r="H745" s="143">
        <f>$H$28</f>
        <v>66.711</v>
      </c>
      <c r="I745" s="17">
        <f t="shared" ref="I745:I751" si="214">(F745+G745+H745)*$I$3</f>
        <v>13.6711</v>
      </c>
      <c r="J745" s="18">
        <f t="shared" ref="J745:J751" si="215">ROUND(SUM(F745:I745),2)</f>
        <v>150.38</v>
      </c>
      <c r="K745" s="19">
        <f t="shared" ref="K745:K751" si="216">ROUND(J745*E745,2)</f>
        <v>2467.74</v>
      </c>
      <c r="L745" s="178"/>
      <c r="M745" s="139">
        <v>1</v>
      </c>
      <c r="N745" s="139">
        <v>2243.41</v>
      </c>
      <c r="O745" s="139"/>
      <c r="P745" s="37">
        <f t="shared" ref="P745:P751" si="217">Q745+Q745*R745+S745+T745+U745</f>
        <v>136.711</v>
      </c>
      <c r="Q745" s="99">
        <f>$Q$28</f>
        <v>0</v>
      </c>
      <c r="R745" s="163">
        <f>$R$28</f>
        <v>0.01</v>
      </c>
      <c r="S745" s="99">
        <f>$S$28</f>
        <v>70</v>
      </c>
      <c r="T745" s="99">
        <f>$T$28</f>
        <v>64.711</v>
      </c>
      <c r="U745" s="99">
        <f>$U$28</f>
        <v>2</v>
      </c>
      <c r="V745" s="37">
        <f t="shared" ref="V745:V751" si="218">P745*E745</f>
        <v>2243.42751</v>
      </c>
      <c r="W745" s="139"/>
      <c r="X745" s="139"/>
      <c r="Y745" s="139"/>
      <c r="Z745" s="139"/>
      <c r="AA745" s="139"/>
      <c r="AB745" s="139"/>
      <c r="AC745" s="139"/>
      <c r="AD745" s="139"/>
      <c r="AE745" s="139"/>
      <c r="AF745" s="140"/>
      <c r="AG745" s="140"/>
      <c r="AH745" s="140"/>
      <c r="AI745" s="140"/>
      <c r="AJ745" s="140"/>
      <c r="AK745" s="140"/>
      <c r="AL745" s="140"/>
      <c r="AM745" s="140"/>
      <c r="AN745" s="140"/>
      <c r="AO745" s="140"/>
      <c r="AP745" s="140"/>
      <c r="AQ745" s="140"/>
      <c r="AR745" s="140"/>
      <c r="AS745" s="140"/>
      <c r="AT745" s="140"/>
      <c r="AU745" s="140"/>
      <c r="AV745" s="140"/>
      <c r="AW745" s="140"/>
      <c r="AX745" s="140"/>
      <c r="AY745" s="140"/>
      <c r="AZ745" s="140"/>
      <c r="BA745" s="140"/>
      <c r="BB745" s="140"/>
      <c r="BC745" s="140"/>
      <c r="BD745" s="140"/>
      <c r="BE745" s="140"/>
    </row>
    <row r="746" s="119" customFormat="1" ht="84" customHeight="1" outlineLevel="2" spans="1:57">
      <c r="A746" s="145">
        <f t="shared" si="213"/>
        <v>2</v>
      </c>
      <c r="B746" s="146" t="s">
        <v>362</v>
      </c>
      <c r="C746" s="161" t="s">
        <v>363</v>
      </c>
      <c r="D746" s="148" t="s">
        <v>63</v>
      </c>
      <c r="E746" s="149">
        <v>9.82</v>
      </c>
      <c r="F746" s="149">
        <f>S746*$S$1</f>
        <v>110</v>
      </c>
      <c r="G746" s="149">
        <f>Q746*(1+R746)*$Q$1</f>
        <v>454.5</v>
      </c>
      <c r="H746" s="149">
        <f>(T746+U746)*$T$1</f>
        <v>40.997</v>
      </c>
      <c r="I746" s="150">
        <f t="shared" si="214"/>
        <v>60.5497</v>
      </c>
      <c r="J746" s="151">
        <f t="shared" si="215"/>
        <v>666.05</v>
      </c>
      <c r="K746" s="152">
        <f t="shared" si="216"/>
        <v>6540.61</v>
      </c>
      <c r="L746" s="178"/>
      <c r="M746" s="139">
        <v>1</v>
      </c>
      <c r="N746" s="139">
        <v>5946.01</v>
      </c>
      <c r="O746" s="139"/>
      <c r="P746" s="37">
        <f t="shared" si="217"/>
        <v>605.497</v>
      </c>
      <c r="Q746" s="71">
        <v>450</v>
      </c>
      <c r="R746" s="157">
        <v>0.01</v>
      </c>
      <c r="S746" s="71">
        <v>110</v>
      </c>
      <c r="T746" s="71">
        <v>38.997</v>
      </c>
      <c r="U746" s="71">
        <v>2</v>
      </c>
      <c r="V746" s="37">
        <f t="shared" si="218"/>
        <v>5945.98054</v>
      </c>
      <c r="W746" s="139"/>
      <c r="X746" s="139"/>
      <c r="Y746" s="139"/>
      <c r="Z746" s="139"/>
      <c r="AA746" s="139"/>
      <c r="AB746" s="139"/>
      <c r="AC746" s="139"/>
      <c r="AD746" s="139"/>
      <c r="AE746" s="139"/>
      <c r="AF746" s="140"/>
      <c r="AG746" s="140"/>
      <c r="AH746" s="140"/>
      <c r="AI746" s="140"/>
      <c r="AJ746" s="140"/>
      <c r="AK746" s="140"/>
      <c r="AL746" s="140"/>
      <c r="AM746" s="140"/>
      <c r="AN746" s="140"/>
      <c r="AO746" s="140"/>
      <c r="AP746" s="140"/>
      <c r="AQ746" s="140"/>
      <c r="AR746" s="140"/>
      <c r="AS746" s="140"/>
      <c r="AT746" s="140"/>
      <c r="AU746" s="140"/>
      <c r="AV746" s="140"/>
      <c r="AW746" s="140"/>
      <c r="AX746" s="140"/>
      <c r="AY746" s="140"/>
      <c r="AZ746" s="140"/>
      <c r="BA746" s="140"/>
      <c r="BB746" s="140"/>
      <c r="BC746" s="140"/>
      <c r="BD746" s="140"/>
      <c r="BE746" s="140"/>
    </row>
    <row r="747" s="119" customFormat="1" ht="72" customHeight="1" outlineLevel="2" spans="1:57">
      <c r="A747" s="162">
        <f t="shared" si="213"/>
        <v>3</v>
      </c>
      <c r="B747" s="14" t="s">
        <v>108</v>
      </c>
      <c r="C747" s="15" t="s">
        <v>109</v>
      </c>
      <c r="D747" s="142" t="s">
        <v>70</v>
      </c>
      <c r="E747" s="143">
        <f>1.8*2</f>
        <v>3.6</v>
      </c>
      <c r="F747" s="143">
        <f>$F$31</f>
        <v>30</v>
      </c>
      <c r="G747" s="143">
        <f>$G$31</f>
        <v>65.6625</v>
      </c>
      <c r="H747" s="143">
        <f>$H$31</f>
        <v>2.7</v>
      </c>
      <c r="I747" s="17">
        <f t="shared" si="214"/>
        <v>9.83625</v>
      </c>
      <c r="J747" s="18">
        <f t="shared" si="215"/>
        <v>108.2</v>
      </c>
      <c r="K747" s="19">
        <f t="shared" si="216"/>
        <v>389.52</v>
      </c>
      <c r="L747" s="178"/>
      <c r="M747" s="139">
        <v>1</v>
      </c>
      <c r="N747" s="139">
        <v>354.1</v>
      </c>
      <c r="O747" s="139"/>
      <c r="P747" s="37">
        <f t="shared" si="217"/>
        <v>98.3625</v>
      </c>
      <c r="Q747" s="99">
        <f>$Q$31</f>
        <v>63.75</v>
      </c>
      <c r="R747" s="163">
        <f>$R$31</f>
        <v>0.03</v>
      </c>
      <c r="S747" s="99">
        <f>$S$31</f>
        <v>30</v>
      </c>
      <c r="T747" s="99">
        <f>$T$31</f>
        <v>2.5</v>
      </c>
      <c r="U747" s="99">
        <f>$U$31</f>
        <v>0.2</v>
      </c>
      <c r="V747" s="37">
        <f t="shared" si="218"/>
        <v>354.105</v>
      </c>
      <c r="W747" s="139"/>
      <c r="X747" s="139"/>
      <c r="Y747" s="139"/>
      <c r="Z747" s="139"/>
      <c r="AA747" s="139"/>
      <c r="AB747" s="139"/>
      <c r="AC747" s="139"/>
      <c r="AD747" s="139"/>
      <c r="AE747" s="139"/>
      <c r="AF747" s="140"/>
      <c r="AG747" s="140"/>
      <c r="AH747" s="140"/>
      <c r="AI747" s="140"/>
      <c r="AJ747" s="140"/>
      <c r="AK747" s="140"/>
      <c r="AL747" s="140"/>
      <c r="AM747" s="140"/>
      <c r="AN747" s="140"/>
      <c r="AO747" s="140"/>
      <c r="AP747" s="140"/>
      <c r="AQ747" s="140"/>
      <c r="AR747" s="140"/>
      <c r="AS747" s="140"/>
      <c r="AT747" s="140"/>
      <c r="AU747" s="140"/>
      <c r="AV747" s="140"/>
      <c r="AW747" s="140"/>
      <c r="AX747" s="140"/>
      <c r="AY747" s="140"/>
      <c r="AZ747" s="140"/>
      <c r="BA747" s="140"/>
      <c r="BB747" s="140"/>
      <c r="BC747" s="140"/>
      <c r="BD747" s="140"/>
      <c r="BE747" s="140"/>
    </row>
    <row r="748" s="119" customFormat="1" ht="72" customHeight="1" outlineLevel="2" spans="1:57">
      <c r="A748" s="162">
        <f t="shared" si="213"/>
        <v>4</v>
      </c>
      <c r="B748" s="14" t="s">
        <v>104</v>
      </c>
      <c r="C748" s="15" t="s">
        <v>105</v>
      </c>
      <c r="D748" s="142" t="s">
        <v>70</v>
      </c>
      <c r="E748" s="143">
        <v>19.2</v>
      </c>
      <c r="F748" s="143">
        <f>$F$29</f>
        <v>50</v>
      </c>
      <c r="G748" s="143">
        <f>$G$29</f>
        <v>0</v>
      </c>
      <c r="H748" s="143">
        <f>$H$29</f>
        <v>22.0941</v>
      </c>
      <c r="I748" s="17">
        <f t="shared" si="214"/>
        <v>7.20941</v>
      </c>
      <c r="J748" s="18">
        <f t="shared" si="215"/>
        <v>79.3</v>
      </c>
      <c r="K748" s="19">
        <f t="shared" si="216"/>
        <v>1522.56</v>
      </c>
      <c r="L748" s="178"/>
      <c r="M748" s="139">
        <v>1</v>
      </c>
      <c r="N748" s="139">
        <v>1384.13</v>
      </c>
      <c r="O748" s="139"/>
      <c r="P748" s="37">
        <f t="shared" si="217"/>
        <v>72.0941</v>
      </c>
      <c r="Q748" s="99">
        <f>$Q$29</f>
        <v>0</v>
      </c>
      <c r="R748" s="163">
        <f>$R$29</f>
        <v>0.01</v>
      </c>
      <c r="S748" s="99">
        <f>$S$29</f>
        <v>50</v>
      </c>
      <c r="T748" s="99">
        <f>$T$29</f>
        <v>22.0941</v>
      </c>
      <c r="U748" s="99">
        <f>$U$29</f>
        <v>0</v>
      </c>
      <c r="V748" s="37">
        <f t="shared" si="218"/>
        <v>1384.20672</v>
      </c>
      <c r="W748" s="139"/>
      <c r="X748" s="139"/>
      <c r="Y748" s="139"/>
      <c r="Z748" s="139"/>
      <c r="AA748" s="139"/>
      <c r="AB748" s="139"/>
      <c r="AC748" s="139"/>
      <c r="AD748" s="139"/>
      <c r="AE748" s="139"/>
      <c r="AF748" s="140"/>
      <c r="AG748" s="140"/>
      <c r="AH748" s="140"/>
      <c r="AI748" s="140"/>
      <c r="AJ748" s="140"/>
      <c r="AK748" s="140"/>
      <c r="AL748" s="140"/>
      <c r="AM748" s="140"/>
      <c r="AN748" s="140"/>
      <c r="AO748" s="140"/>
      <c r="AP748" s="140"/>
      <c r="AQ748" s="140"/>
      <c r="AR748" s="140"/>
      <c r="AS748" s="140"/>
      <c r="AT748" s="140"/>
      <c r="AU748" s="140"/>
      <c r="AV748" s="140"/>
      <c r="AW748" s="140"/>
      <c r="AX748" s="140"/>
      <c r="AY748" s="140"/>
      <c r="AZ748" s="140"/>
      <c r="BA748" s="140"/>
      <c r="BB748" s="140"/>
      <c r="BC748" s="140"/>
      <c r="BD748" s="140"/>
      <c r="BE748" s="140"/>
    </row>
    <row r="749" s="119" customFormat="1" ht="72" customHeight="1" outlineLevel="2" spans="1:57">
      <c r="A749" s="162">
        <f t="shared" si="213"/>
        <v>5</v>
      </c>
      <c r="B749" s="14" t="s">
        <v>106</v>
      </c>
      <c r="C749" s="15" t="s">
        <v>107</v>
      </c>
      <c r="D749" s="142" t="s">
        <v>70</v>
      </c>
      <c r="E749" s="143">
        <v>19.2</v>
      </c>
      <c r="F749" s="143">
        <f>$F$30</f>
        <v>18</v>
      </c>
      <c r="G749" s="143">
        <f>$G$30</f>
        <v>163.255</v>
      </c>
      <c r="H749" s="143">
        <f>$H$30</f>
        <v>3.8</v>
      </c>
      <c r="I749" s="17">
        <f t="shared" si="214"/>
        <v>18.5055</v>
      </c>
      <c r="J749" s="18">
        <f t="shared" si="215"/>
        <v>203.56</v>
      </c>
      <c r="K749" s="19">
        <f t="shared" si="216"/>
        <v>3908.35</v>
      </c>
      <c r="L749" s="178"/>
      <c r="M749" s="139">
        <v>1</v>
      </c>
      <c r="N749" s="139">
        <v>3553.15</v>
      </c>
      <c r="O749" s="139"/>
      <c r="P749" s="37">
        <f t="shared" si="217"/>
        <v>185.055</v>
      </c>
      <c r="Q749" s="99">
        <f>$Q$30</f>
        <v>158.5</v>
      </c>
      <c r="R749" s="163">
        <f>$R$30</f>
        <v>0.03</v>
      </c>
      <c r="S749" s="99">
        <f>$S$30</f>
        <v>18</v>
      </c>
      <c r="T749" s="99">
        <f>$T$30</f>
        <v>3.5</v>
      </c>
      <c r="U749" s="99">
        <f>$U$30</f>
        <v>0.3</v>
      </c>
      <c r="V749" s="37">
        <f t="shared" si="218"/>
        <v>3553.056</v>
      </c>
      <c r="W749" s="139"/>
      <c r="X749" s="139"/>
      <c r="Y749" s="139"/>
      <c r="Z749" s="139"/>
      <c r="AA749" s="139"/>
      <c r="AB749" s="139"/>
      <c r="AC749" s="139"/>
      <c r="AD749" s="139"/>
      <c r="AE749" s="139"/>
      <c r="AF749" s="140"/>
      <c r="AG749" s="140"/>
      <c r="AH749" s="140"/>
      <c r="AI749" s="140"/>
      <c r="AJ749" s="140"/>
      <c r="AK749" s="140"/>
      <c r="AL749" s="140"/>
      <c r="AM749" s="140"/>
      <c r="AN749" s="140"/>
      <c r="AO749" s="140"/>
      <c r="AP749" s="140"/>
      <c r="AQ749" s="140"/>
      <c r="AR749" s="140"/>
      <c r="AS749" s="140"/>
      <c r="AT749" s="140"/>
      <c r="AU749" s="140"/>
      <c r="AV749" s="140"/>
      <c r="AW749" s="140"/>
      <c r="AX749" s="140"/>
      <c r="AY749" s="140"/>
      <c r="AZ749" s="140"/>
      <c r="BA749" s="140"/>
      <c r="BB749" s="140"/>
      <c r="BC749" s="140"/>
      <c r="BD749" s="140"/>
      <c r="BE749" s="140"/>
    </row>
    <row r="750" s="119" customFormat="1" ht="72" customHeight="1" outlineLevel="2" spans="1:57">
      <c r="A750" s="162">
        <f t="shared" si="213"/>
        <v>6</v>
      </c>
      <c r="B750" s="14" t="s">
        <v>268</v>
      </c>
      <c r="C750" s="15" t="s">
        <v>269</v>
      </c>
      <c r="D750" s="142" t="s">
        <v>70</v>
      </c>
      <c r="E750" s="143">
        <v>9.4</v>
      </c>
      <c r="F750" s="143">
        <f>$F$472</f>
        <v>55</v>
      </c>
      <c r="G750" s="143">
        <f>$G$472</f>
        <v>0</v>
      </c>
      <c r="H750" s="143">
        <f>$H$472</f>
        <v>29.6688</v>
      </c>
      <c r="I750" s="17">
        <f t="shared" si="214"/>
        <v>8.46688</v>
      </c>
      <c r="J750" s="18">
        <f t="shared" si="215"/>
        <v>93.14</v>
      </c>
      <c r="K750" s="19">
        <f t="shared" si="216"/>
        <v>875.52</v>
      </c>
      <c r="L750" s="178"/>
      <c r="M750" s="139">
        <v>1</v>
      </c>
      <c r="N750" s="139">
        <v>795.9</v>
      </c>
      <c r="O750" s="139"/>
      <c r="P750" s="37">
        <f t="shared" si="217"/>
        <v>84.6688</v>
      </c>
      <c r="Q750" s="99">
        <f>$Q$472</f>
        <v>0</v>
      </c>
      <c r="R750" s="163">
        <f>$R$472</f>
        <v>0.01</v>
      </c>
      <c r="S750" s="99">
        <f>$S$472</f>
        <v>55</v>
      </c>
      <c r="T750" s="99">
        <f>$T$472</f>
        <v>29.6688</v>
      </c>
      <c r="U750" s="99">
        <f>$U$472</f>
        <v>0</v>
      </c>
      <c r="V750" s="37">
        <f t="shared" si="218"/>
        <v>795.88672</v>
      </c>
      <c r="W750" s="139"/>
      <c r="X750" s="139"/>
      <c r="Y750" s="139"/>
      <c r="Z750" s="139"/>
      <c r="AA750" s="139"/>
      <c r="AB750" s="139"/>
      <c r="AC750" s="139"/>
      <c r="AD750" s="139"/>
      <c r="AE750" s="139"/>
      <c r="AF750" s="140"/>
      <c r="AG750" s="140"/>
      <c r="AH750" s="140"/>
      <c r="AI750" s="140"/>
      <c r="AJ750" s="140"/>
      <c r="AK750" s="140"/>
      <c r="AL750" s="140"/>
      <c r="AM750" s="140"/>
      <c r="AN750" s="140"/>
      <c r="AO750" s="140"/>
      <c r="AP750" s="140"/>
      <c r="AQ750" s="140"/>
      <c r="AR750" s="140"/>
      <c r="AS750" s="140"/>
      <c r="AT750" s="140"/>
      <c r="AU750" s="140"/>
      <c r="AV750" s="140"/>
      <c r="AW750" s="140"/>
      <c r="AX750" s="140"/>
      <c r="AY750" s="140"/>
      <c r="AZ750" s="140"/>
      <c r="BA750" s="140"/>
      <c r="BB750" s="140"/>
      <c r="BC750" s="140"/>
      <c r="BD750" s="140"/>
      <c r="BE750" s="140"/>
    </row>
    <row r="751" s="119" customFormat="1" ht="72" customHeight="1" outlineLevel="2" spans="1:57">
      <c r="A751" s="162">
        <f t="shared" si="213"/>
        <v>7</v>
      </c>
      <c r="B751" s="14" t="s">
        <v>110</v>
      </c>
      <c r="C751" s="15" t="s">
        <v>111</v>
      </c>
      <c r="D751" s="142" t="s">
        <v>63</v>
      </c>
      <c r="E751" s="143">
        <f>16.41+19.2*0.3+9.4*0.4</f>
        <v>25.93</v>
      </c>
      <c r="F751" s="143">
        <f>$F$32</f>
        <v>45</v>
      </c>
      <c r="G751" s="143">
        <f>$G$32</f>
        <v>85.5</v>
      </c>
      <c r="H751" s="143">
        <f>$H$32</f>
        <v>7.3</v>
      </c>
      <c r="I751" s="17">
        <f t="shared" si="214"/>
        <v>13.78</v>
      </c>
      <c r="J751" s="18">
        <f t="shared" si="215"/>
        <v>151.58</v>
      </c>
      <c r="K751" s="19">
        <f t="shared" si="216"/>
        <v>3930.47</v>
      </c>
      <c r="L751" s="178"/>
      <c r="M751" s="139">
        <v>1</v>
      </c>
      <c r="N751" s="139">
        <v>3573.15</v>
      </c>
      <c r="O751" s="139"/>
      <c r="P751" s="37">
        <f t="shared" si="217"/>
        <v>137.8</v>
      </c>
      <c r="Q751" s="99">
        <f>$Q$32</f>
        <v>85.5</v>
      </c>
      <c r="R751" s="163">
        <f>$R$32</f>
        <v>0</v>
      </c>
      <c r="S751" s="99">
        <f>$S$32</f>
        <v>45</v>
      </c>
      <c r="T751" s="99">
        <f>$T$32</f>
        <v>6.5</v>
      </c>
      <c r="U751" s="99">
        <f>$U$32</f>
        <v>0.8</v>
      </c>
      <c r="V751" s="37">
        <f t="shared" si="218"/>
        <v>3573.154</v>
      </c>
      <c r="W751" s="139"/>
      <c r="X751" s="139"/>
      <c r="Y751" s="139"/>
      <c r="Z751" s="139"/>
      <c r="AA751" s="139"/>
      <c r="AB751" s="139"/>
      <c r="AC751" s="139"/>
      <c r="AD751" s="139"/>
      <c r="AE751" s="139"/>
      <c r="AF751" s="140"/>
      <c r="AG751" s="140"/>
      <c r="AH751" s="140"/>
      <c r="AI751" s="140"/>
      <c r="AJ751" s="140"/>
      <c r="AK751" s="140"/>
      <c r="AL751" s="140"/>
      <c r="AM751" s="140"/>
      <c r="AN751" s="140"/>
      <c r="AO751" s="140"/>
      <c r="AP751" s="140"/>
      <c r="AQ751" s="140"/>
      <c r="AR751" s="140"/>
      <c r="AS751" s="140"/>
      <c r="AT751" s="140"/>
      <c r="AU751" s="140"/>
      <c r="AV751" s="140"/>
      <c r="AW751" s="140"/>
      <c r="AX751" s="140"/>
      <c r="AY751" s="140"/>
      <c r="AZ751" s="140"/>
      <c r="BA751" s="140"/>
      <c r="BB751" s="140"/>
      <c r="BC751" s="140"/>
      <c r="BD751" s="140"/>
      <c r="BE751" s="140"/>
    </row>
    <row r="752" s="119" customFormat="1" ht="24" customHeight="1" outlineLevel="1" spans="1:57">
      <c r="A752" s="141"/>
      <c r="B752" s="14" t="s">
        <v>112</v>
      </c>
      <c r="C752" s="15"/>
      <c r="D752" s="142"/>
      <c r="E752" s="143"/>
      <c r="F752" s="143"/>
      <c r="G752" s="143"/>
      <c r="H752" s="143"/>
      <c r="I752" s="143"/>
      <c r="J752" s="143"/>
      <c r="K752" s="144"/>
      <c r="L752" s="178"/>
      <c r="M752" s="139"/>
      <c r="N752" s="139"/>
      <c r="O752" s="139"/>
      <c r="P752" s="137"/>
      <c r="Q752" s="137"/>
      <c r="R752" s="138"/>
      <c r="S752" s="137"/>
      <c r="T752" s="137"/>
      <c r="U752" s="137"/>
      <c r="V752" s="137"/>
      <c r="W752" s="139"/>
      <c r="X752" s="139"/>
      <c r="Y752" s="139"/>
      <c r="Z752" s="139"/>
      <c r="AA752" s="139"/>
      <c r="AB752" s="139"/>
      <c r="AC752" s="139"/>
      <c r="AD752" s="139"/>
      <c r="AE752" s="139"/>
      <c r="AF752" s="140"/>
      <c r="AG752" s="140"/>
      <c r="AH752" s="140"/>
      <c r="AI752" s="140"/>
      <c r="AJ752" s="140"/>
      <c r="AK752" s="140"/>
      <c r="AL752" s="140"/>
      <c r="AM752" s="140"/>
      <c r="AN752" s="140"/>
      <c r="AO752" s="140"/>
      <c r="AP752" s="140"/>
      <c r="AQ752" s="140"/>
      <c r="AR752" s="140"/>
      <c r="AS752" s="140"/>
      <c r="AT752" s="140"/>
      <c r="AU752" s="140"/>
      <c r="AV752" s="140"/>
      <c r="AW752" s="140"/>
      <c r="AX752" s="140"/>
      <c r="AY752" s="140"/>
      <c r="AZ752" s="140"/>
      <c r="BA752" s="140"/>
      <c r="BB752" s="140"/>
      <c r="BC752" s="140"/>
      <c r="BD752" s="140"/>
      <c r="BE752" s="140"/>
    </row>
    <row r="753" s="119" customFormat="1" ht="60" customHeight="1" outlineLevel="2" spans="1:57">
      <c r="A753" s="145">
        <f>1+N(A752)</f>
        <v>1</v>
      </c>
      <c r="B753" s="146" t="s">
        <v>364</v>
      </c>
      <c r="C753" s="147" t="s">
        <v>330</v>
      </c>
      <c r="D753" s="148" t="s">
        <v>63</v>
      </c>
      <c r="E753" s="149">
        <f>3.385*0.94</f>
        <v>3.1819</v>
      </c>
      <c r="F753" s="149">
        <f>S753*$S$1</f>
        <v>145</v>
      </c>
      <c r="G753" s="149">
        <f>Q753*(1+R753)*$Q$1</f>
        <v>2150</v>
      </c>
      <c r="H753" s="149">
        <f>(T753+U753)*$T$1</f>
        <v>31.5</v>
      </c>
      <c r="I753" s="150">
        <f>(F753+G753+H753)*$I$3</f>
        <v>232.65</v>
      </c>
      <c r="J753" s="151">
        <f>ROUND(SUM(F753:I753),2)</f>
        <v>2559.15</v>
      </c>
      <c r="K753" s="152">
        <f>ROUND(J753*E753,2)</f>
        <v>8142.96</v>
      </c>
      <c r="L753" s="178"/>
      <c r="M753" s="139">
        <v>1</v>
      </c>
      <c r="N753" s="139">
        <v>7402.69</v>
      </c>
      <c r="O753" s="139"/>
      <c r="P753" s="37">
        <f>Q753+Q753*R753+S753+T753+U753</f>
        <v>2326.5</v>
      </c>
      <c r="Q753" s="71">
        <v>2150</v>
      </c>
      <c r="R753" s="157">
        <v>0</v>
      </c>
      <c r="S753" s="71">
        <v>145</v>
      </c>
      <c r="T753" s="71">
        <v>30</v>
      </c>
      <c r="U753" s="71">
        <v>1.5</v>
      </c>
      <c r="V753" s="37">
        <f>P753*E753</f>
        <v>7402.69035</v>
      </c>
      <c r="W753" s="139"/>
      <c r="X753" s="139"/>
      <c r="Y753" s="139"/>
      <c r="Z753" s="139"/>
      <c r="AA753" s="139"/>
      <c r="AB753" s="139"/>
      <c r="AC753" s="139"/>
      <c r="AD753" s="139"/>
      <c r="AE753" s="139"/>
      <c r="AF753" s="140"/>
      <c r="AG753" s="140"/>
      <c r="AH753" s="140"/>
      <c r="AI753" s="140"/>
      <c r="AJ753" s="140"/>
      <c r="AK753" s="140"/>
      <c r="AL753" s="140"/>
      <c r="AM753" s="140"/>
      <c r="AN753" s="140"/>
      <c r="AO753" s="140"/>
      <c r="AP753" s="140"/>
      <c r="AQ753" s="140"/>
      <c r="AR753" s="140"/>
      <c r="AS753" s="140"/>
      <c r="AT753" s="140"/>
      <c r="AU753" s="140"/>
      <c r="AV753" s="140"/>
      <c r="AW753" s="140"/>
      <c r="AX753" s="140"/>
      <c r="AY753" s="140"/>
      <c r="AZ753" s="140"/>
      <c r="BA753" s="140"/>
      <c r="BB753" s="140"/>
      <c r="BC753" s="140"/>
      <c r="BD753" s="140"/>
      <c r="BE753" s="140"/>
    </row>
    <row r="754" s="119" customFormat="1" ht="36" customHeight="1" outlineLevel="2" spans="1:57">
      <c r="A754" s="145">
        <f>1+N(A753)</f>
        <v>2</v>
      </c>
      <c r="B754" s="146" t="s">
        <v>365</v>
      </c>
      <c r="C754" s="147" t="s">
        <v>366</v>
      </c>
      <c r="D754" s="148" t="s">
        <v>63</v>
      </c>
      <c r="E754" s="149">
        <f>(4.7+2.08)*3.4</f>
        <v>23.052</v>
      </c>
      <c r="F754" s="149">
        <f>S754*$S$1</f>
        <v>110</v>
      </c>
      <c r="G754" s="149">
        <f>Q754*(1+R754)*$Q$1</f>
        <v>240</v>
      </c>
      <c r="H754" s="149">
        <f>(T754+U754)*$T$1</f>
        <v>14</v>
      </c>
      <c r="I754" s="150">
        <f>(F754+G754+H754)*$I$3</f>
        <v>36.4</v>
      </c>
      <c r="J754" s="151">
        <f>ROUND(SUM(F754:I754),2)</f>
        <v>400.4</v>
      </c>
      <c r="K754" s="152">
        <f>ROUND(J754*E754,2)</f>
        <v>9230.02</v>
      </c>
      <c r="L754" s="178"/>
      <c r="M754" s="139">
        <v>1</v>
      </c>
      <c r="N754" s="139">
        <v>8390.93</v>
      </c>
      <c r="O754" s="139"/>
      <c r="P754" s="37">
        <f>Q754+Q754*R754+S754+T754+U754</f>
        <v>364</v>
      </c>
      <c r="Q754" s="71">
        <v>240</v>
      </c>
      <c r="R754" s="157">
        <v>0</v>
      </c>
      <c r="S754" s="71">
        <v>110</v>
      </c>
      <c r="T754" s="71">
        <v>12</v>
      </c>
      <c r="U754" s="71">
        <v>2</v>
      </c>
      <c r="V754" s="37">
        <f>P754*E754</f>
        <v>8390.928</v>
      </c>
      <c r="W754" s="139"/>
      <c r="X754" s="139"/>
      <c r="Y754" s="139"/>
      <c r="Z754" s="139"/>
      <c r="AA754" s="139"/>
      <c r="AB754" s="139"/>
      <c r="AC754" s="139"/>
      <c r="AD754" s="139"/>
      <c r="AE754" s="139"/>
      <c r="AF754" s="140"/>
      <c r="AG754" s="140"/>
      <c r="AH754" s="140"/>
      <c r="AI754" s="140"/>
      <c r="AJ754" s="140"/>
      <c r="AK754" s="140"/>
      <c r="AL754" s="140"/>
      <c r="AM754" s="140"/>
      <c r="AN754" s="140"/>
      <c r="AO754" s="140"/>
      <c r="AP754" s="140"/>
      <c r="AQ754" s="140"/>
      <c r="AR754" s="140"/>
      <c r="AS754" s="140"/>
      <c r="AT754" s="140"/>
      <c r="AU754" s="140"/>
      <c r="AV754" s="140"/>
      <c r="AW754" s="140"/>
      <c r="AX754" s="140"/>
      <c r="AY754" s="140"/>
      <c r="AZ754" s="140"/>
      <c r="BA754" s="140"/>
      <c r="BB754" s="140"/>
      <c r="BC754" s="140"/>
      <c r="BD754" s="140"/>
      <c r="BE754" s="140"/>
    </row>
    <row r="755" s="119" customFormat="1" ht="36" customHeight="1" outlineLevel="2" spans="1:57">
      <c r="A755" s="145">
        <f>1+N(A754)</f>
        <v>3</v>
      </c>
      <c r="B755" s="146" t="s">
        <v>367</v>
      </c>
      <c r="C755" s="147" t="s">
        <v>368</v>
      </c>
      <c r="D755" s="148" t="s">
        <v>63</v>
      </c>
      <c r="E755" s="149">
        <f>0.8*3.4*2</f>
        <v>5.44</v>
      </c>
      <c r="F755" s="149">
        <f>S755*$S$1</f>
        <v>135</v>
      </c>
      <c r="G755" s="149">
        <f>Q755*(1+R755)*$Q$1</f>
        <v>850</v>
      </c>
      <c r="H755" s="149">
        <f>(T755+U755)*$T$1</f>
        <v>28.5</v>
      </c>
      <c r="I755" s="150">
        <f>(F755+G755+H755)*$I$3</f>
        <v>101.35</v>
      </c>
      <c r="J755" s="151">
        <f>ROUND(SUM(F755:I755),2)</f>
        <v>1114.85</v>
      </c>
      <c r="K755" s="152">
        <f>ROUND(J755*E755,2)</f>
        <v>6064.78</v>
      </c>
      <c r="L755" s="178"/>
      <c r="M755" s="139">
        <v>1</v>
      </c>
      <c r="N755" s="139">
        <v>5513.44</v>
      </c>
      <c r="O755" s="139"/>
      <c r="P755" s="37">
        <f>Q755+Q755*R755+S755+T755+U755</f>
        <v>1013.5</v>
      </c>
      <c r="Q755" s="71">
        <v>850</v>
      </c>
      <c r="R755" s="157">
        <v>0</v>
      </c>
      <c r="S755" s="71">
        <v>135</v>
      </c>
      <c r="T755" s="71">
        <v>27</v>
      </c>
      <c r="U755" s="71">
        <v>1.5</v>
      </c>
      <c r="V755" s="37">
        <f>P755*E755</f>
        <v>5513.44</v>
      </c>
      <c r="W755" s="139"/>
      <c r="X755" s="139"/>
      <c r="Y755" s="139"/>
      <c r="Z755" s="139"/>
      <c r="AA755" s="139"/>
      <c r="AB755" s="139"/>
      <c r="AC755" s="139"/>
      <c r="AD755" s="139"/>
      <c r="AE755" s="139"/>
      <c r="AF755" s="140"/>
      <c r="AG755" s="140"/>
      <c r="AH755" s="140"/>
      <c r="AI755" s="140"/>
      <c r="AJ755" s="140"/>
      <c r="AK755" s="140"/>
      <c r="AL755" s="140"/>
      <c r="AM755" s="140"/>
      <c r="AN755" s="140"/>
      <c r="AO755" s="140"/>
      <c r="AP755" s="140"/>
      <c r="AQ755" s="140"/>
      <c r="AR755" s="140"/>
      <c r="AS755" s="140"/>
      <c r="AT755" s="140"/>
      <c r="AU755" s="140"/>
      <c r="AV755" s="140"/>
      <c r="AW755" s="140"/>
      <c r="AX755" s="140"/>
      <c r="AY755" s="140"/>
      <c r="AZ755" s="140"/>
      <c r="BA755" s="140"/>
      <c r="BB755" s="140"/>
      <c r="BC755" s="140"/>
      <c r="BD755" s="140"/>
      <c r="BE755" s="140"/>
    </row>
    <row r="756" s="119" customFormat="1" ht="24" customHeight="1" outlineLevel="2" spans="1:57">
      <c r="A756" s="145">
        <f>1+N(A755)</f>
        <v>4</v>
      </c>
      <c r="B756" s="146" t="s">
        <v>369</v>
      </c>
      <c r="C756" s="147" t="s">
        <v>370</v>
      </c>
      <c r="D756" s="148" t="s">
        <v>156</v>
      </c>
      <c r="E756" s="149">
        <v>2</v>
      </c>
      <c r="F756" s="149">
        <f>S756*$S$1</f>
        <v>600</v>
      </c>
      <c r="G756" s="149">
        <f>Q756*(1+R756)*$Q$1</f>
        <v>74000</v>
      </c>
      <c r="H756" s="149">
        <f>(T756+U756)*$T$1</f>
        <v>63.5</v>
      </c>
      <c r="I756" s="150">
        <f>(F756+G756+H756)*$I$3</f>
        <v>7466.35</v>
      </c>
      <c r="J756" s="151">
        <f>ROUND(SUM(F756:I756),2)</f>
        <v>82129.85</v>
      </c>
      <c r="K756" s="152">
        <f>ROUND(J756*E756,2)</f>
        <v>164259.7</v>
      </c>
      <c r="L756" s="178"/>
      <c r="M756" s="139">
        <v>1</v>
      </c>
      <c r="N756" s="139">
        <v>149327</v>
      </c>
      <c r="O756" s="139"/>
      <c r="P756" s="37">
        <f>Q756+Q756*R756+S756+T756+U756</f>
        <v>74663.5</v>
      </c>
      <c r="Q756" s="71">
        <v>74000</v>
      </c>
      <c r="R756" s="157"/>
      <c r="S756" s="71">
        <v>600</v>
      </c>
      <c r="T756" s="71">
        <v>50</v>
      </c>
      <c r="U756" s="71">
        <v>13.5</v>
      </c>
      <c r="V756" s="37">
        <f>P756*E756</f>
        <v>149327</v>
      </c>
      <c r="W756" s="139"/>
      <c r="X756" s="139"/>
      <c r="Y756" s="139"/>
      <c r="Z756" s="139"/>
      <c r="AA756" s="139"/>
      <c r="AB756" s="139"/>
      <c r="AC756" s="139"/>
      <c r="AD756" s="139"/>
      <c r="AE756" s="139"/>
      <c r="AF756" s="140"/>
      <c r="AG756" s="140"/>
      <c r="AH756" s="140"/>
      <c r="AI756" s="140"/>
      <c r="AJ756" s="140"/>
      <c r="AK756" s="140"/>
      <c r="AL756" s="140"/>
      <c r="AM756" s="140"/>
      <c r="AN756" s="140"/>
      <c r="AO756" s="140"/>
      <c r="AP756" s="140"/>
      <c r="AQ756" s="140"/>
      <c r="AR756" s="140"/>
      <c r="AS756" s="140"/>
      <c r="AT756" s="140"/>
      <c r="AU756" s="140"/>
      <c r="AV756" s="140"/>
      <c r="AW756" s="140"/>
      <c r="AX756" s="140"/>
      <c r="AY756" s="140"/>
      <c r="AZ756" s="140"/>
      <c r="BA756" s="140"/>
      <c r="BB756" s="140"/>
      <c r="BC756" s="140"/>
      <c r="BD756" s="140"/>
      <c r="BE756" s="140"/>
    </row>
    <row r="757" s="119" customFormat="1" ht="24" customHeight="1" outlineLevel="1" spans="1:57">
      <c r="A757" s="132" t="s">
        <v>371</v>
      </c>
      <c r="B757" s="8" t="s">
        <v>372</v>
      </c>
      <c r="C757" s="180"/>
      <c r="D757" s="133"/>
      <c r="E757" s="134"/>
      <c r="F757" s="134"/>
      <c r="G757" s="134"/>
      <c r="H757" s="134"/>
      <c r="I757" s="134"/>
      <c r="J757" s="134"/>
      <c r="K757" s="11"/>
      <c r="L757" s="178"/>
      <c r="M757" s="139"/>
      <c r="N757" s="139"/>
      <c r="O757" s="139" t="str">
        <f>_xlfn.DISPIMG("ID_15A5E089ABBE4E6A86F1BBE9869FFE1F",1)</f>
        <v>=DISPIMG("ID_15A5E089ABBE4E6A86F1BBE9869FFE1F",1)</v>
      </c>
      <c r="P757" s="137"/>
      <c r="Q757" s="137"/>
      <c r="R757" s="138"/>
      <c r="S757" s="137"/>
      <c r="T757" s="137"/>
      <c r="U757" s="137"/>
      <c r="V757" s="137"/>
      <c r="W757" s="139"/>
      <c r="X757" s="139"/>
      <c r="Y757" s="139"/>
      <c r="Z757" s="139"/>
      <c r="AA757" s="139"/>
      <c r="AB757" s="139"/>
      <c r="AC757" s="139"/>
      <c r="AD757" s="139"/>
      <c r="AE757" s="139"/>
      <c r="AF757" s="140"/>
      <c r="AG757" s="140"/>
      <c r="AH757" s="140"/>
      <c r="AI757" s="140"/>
      <c r="AJ757" s="140"/>
      <c r="AK757" s="140"/>
      <c r="AL757" s="140"/>
      <c r="AM757" s="140"/>
      <c r="AN757" s="140"/>
      <c r="AO757" s="140"/>
      <c r="AP757" s="140"/>
      <c r="AQ757" s="140"/>
      <c r="AR757" s="140"/>
      <c r="AS757" s="140"/>
      <c r="AT757" s="140"/>
      <c r="AU757" s="140"/>
      <c r="AV757" s="140"/>
      <c r="AW757" s="140"/>
      <c r="AX757" s="140"/>
      <c r="AY757" s="140"/>
      <c r="AZ757" s="140"/>
      <c r="BA757" s="140"/>
      <c r="BB757" s="140"/>
      <c r="BC757" s="140"/>
      <c r="BD757" s="140"/>
      <c r="BE757" s="140"/>
    </row>
    <row r="758" s="119" customFormat="1" ht="24" customHeight="1" outlineLevel="1" spans="1:57">
      <c r="A758" s="141"/>
      <c r="B758" s="14" t="s">
        <v>60</v>
      </c>
      <c r="C758" s="15"/>
      <c r="D758" s="142"/>
      <c r="E758" s="143"/>
      <c r="F758" s="143"/>
      <c r="G758" s="143"/>
      <c r="H758" s="143"/>
      <c r="I758" s="143"/>
      <c r="J758" s="143"/>
      <c r="K758" s="144"/>
      <c r="L758" s="178"/>
      <c r="M758" s="139"/>
      <c r="N758" s="139"/>
      <c r="O758" s="139"/>
      <c r="P758" s="137"/>
      <c r="Q758" s="137"/>
      <c r="R758" s="138"/>
      <c r="S758" s="137"/>
      <c r="T758" s="137"/>
      <c r="U758" s="137"/>
      <c r="V758" s="137"/>
      <c r="W758" s="139"/>
      <c r="X758" s="139"/>
      <c r="Y758" s="139"/>
      <c r="Z758" s="139"/>
      <c r="AA758" s="139"/>
      <c r="AB758" s="139"/>
      <c r="AC758" s="139"/>
      <c r="AD758" s="139"/>
      <c r="AE758" s="139"/>
      <c r="AF758" s="140"/>
      <c r="AG758" s="140"/>
      <c r="AH758" s="140"/>
      <c r="AI758" s="140"/>
      <c r="AJ758" s="140"/>
      <c r="AK758" s="140"/>
      <c r="AL758" s="140"/>
      <c r="AM758" s="140"/>
      <c r="AN758" s="140"/>
      <c r="AO758" s="140"/>
      <c r="AP758" s="140"/>
      <c r="AQ758" s="140"/>
      <c r="AR758" s="140"/>
      <c r="AS758" s="140"/>
      <c r="AT758" s="140"/>
      <c r="AU758" s="140"/>
      <c r="AV758" s="140"/>
      <c r="AW758" s="140"/>
      <c r="AX758" s="140"/>
      <c r="AY758" s="140"/>
      <c r="AZ758" s="140"/>
      <c r="BA758" s="140"/>
      <c r="BB758" s="140"/>
      <c r="BC758" s="140"/>
      <c r="BD758" s="140"/>
      <c r="BE758" s="140"/>
    </row>
    <row r="759" s="119" customFormat="1" ht="96" customHeight="1" outlineLevel="2" spans="1:57">
      <c r="A759" s="162">
        <f>1+N(A758)</f>
        <v>1</v>
      </c>
      <c r="B759" s="14" t="s">
        <v>61</v>
      </c>
      <c r="C759" s="15" t="s">
        <v>62</v>
      </c>
      <c r="D759" s="142" t="s">
        <v>63</v>
      </c>
      <c r="E759" s="143">
        <v>5.1</v>
      </c>
      <c r="F759" s="143">
        <f>$F$7</f>
        <v>130</v>
      </c>
      <c r="G759" s="143">
        <f>$G$7</f>
        <v>628.3</v>
      </c>
      <c r="H759" s="17">
        <f>$H$7</f>
        <v>47.7</v>
      </c>
      <c r="I759" s="17">
        <f>(F759+G759+H759)*$I$3</f>
        <v>80.6</v>
      </c>
      <c r="J759" s="18">
        <f>ROUND(SUM(F759:I759),2)</f>
        <v>886.6</v>
      </c>
      <c r="K759" s="19">
        <f>ROUND(J759*E759,2)</f>
        <v>4521.66</v>
      </c>
      <c r="L759" s="178"/>
      <c r="M759" s="139">
        <v>1</v>
      </c>
      <c r="N759" s="139">
        <v>4110.6</v>
      </c>
      <c r="O759" s="139"/>
      <c r="P759" s="37">
        <f>Q759+Q759*R759+S759+T759+U759</f>
        <v>806</v>
      </c>
      <c r="Q759" s="99">
        <f>$Q$7</f>
        <v>610</v>
      </c>
      <c r="R759" s="163">
        <f>$R$7</f>
        <v>0.03</v>
      </c>
      <c r="S759" s="99">
        <f>$S$7</f>
        <v>130</v>
      </c>
      <c r="T759" s="99">
        <f>$T$7</f>
        <v>46.2</v>
      </c>
      <c r="U759" s="99">
        <f>$U$7</f>
        <v>1.5</v>
      </c>
      <c r="V759" s="37">
        <f>P759*E759</f>
        <v>4110.6</v>
      </c>
      <c r="W759" s="139"/>
      <c r="X759" s="139"/>
      <c r="Y759" s="139"/>
      <c r="Z759" s="139"/>
      <c r="AA759" s="139"/>
      <c r="AB759" s="139"/>
      <c r="AC759" s="139"/>
      <c r="AD759" s="139"/>
      <c r="AE759" s="139"/>
      <c r="AF759" s="140"/>
      <c r="AG759" s="140"/>
      <c r="AH759" s="140"/>
      <c r="AI759" s="140"/>
      <c r="AJ759" s="140"/>
      <c r="AK759" s="140"/>
      <c r="AL759" s="140"/>
      <c r="AM759" s="140"/>
      <c r="AN759" s="140"/>
      <c r="AO759" s="140"/>
      <c r="AP759" s="140"/>
      <c r="AQ759" s="140"/>
      <c r="AR759" s="140"/>
      <c r="AS759" s="140"/>
      <c r="AT759" s="140"/>
      <c r="AU759" s="140"/>
      <c r="AV759" s="140"/>
      <c r="AW759" s="140"/>
      <c r="AX759" s="140"/>
      <c r="AY759" s="140"/>
      <c r="AZ759" s="140"/>
      <c r="BA759" s="140"/>
      <c r="BB759" s="140"/>
      <c r="BC759" s="140"/>
      <c r="BD759" s="140"/>
      <c r="BE759" s="140"/>
    </row>
    <row r="760" s="119" customFormat="1" ht="108" customHeight="1" outlineLevel="2" spans="1:57">
      <c r="A760" s="162">
        <f>1+N(A759)</f>
        <v>2</v>
      </c>
      <c r="B760" s="14" t="s">
        <v>64</v>
      </c>
      <c r="C760" s="15" t="s">
        <v>65</v>
      </c>
      <c r="D760" s="142" t="s">
        <v>63</v>
      </c>
      <c r="E760" s="143">
        <v>4.9</v>
      </c>
      <c r="F760" s="143">
        <f>$F$8</f>
        <v>130</v>
      </c>
      <c r="G760" s="143">
        <f>$G$8</f>
        <v>854.9</v>
      </c>
      <c r="H760" s="143">
        <f>$H$8</f>
        <v>47.7</v>
      </c>
      <c r="I760" s="17">
        <f>(F760+G760+H760)*$I$3</f>
        <v>103.26</v>
      </c>
      <c r="J760" s="18">
        <f>ROUND(SUM(F760:I760),2)</f>
        <v>1135.86</v>
      </c>
      <c r="K760" s="19">
        <f>ROUND(J760*E760,2)</f>
        <v>5565.71</v>
      </c>
      <c r="L760" s="178"/>
      <c r="M760" s="139">
        <v>1</v>
      </c>
      <c r="N760" s="139">
        <v>5059.74</v>
      </c>
      <c r="O760" s="139"/>
      <c r="P760" s="37">
        <f>Q760+Q760*R760+S760+T760+U760</f>
        <v>1032.6</v>
      </c>
      <c r="Q760" s="99">
        <f>$Q$8</f>
        <v>830</v>
      </c>
      <c r="R760" s="163">
        <f>$R$8</f>
        <v>0.03</v>
      </c>
      <c r="S760" s="99">
        <f>$S$8</f>
        <v>130</v>
      </c>
      <c r="T760" s="99">
        <f>$T$8</f>
        <v>46.2</v>
      </c>
      <c r="U760" s="99">
        <f>$U$8</f>
        <v>1.5</v>
      </c>
      <c r="V760" s="37">
        <f>P760*E760</f>
        <v>5059.74</v>
      </c>
      <c r="W760" s="139"/>
      <c r="X760" s="139"/>
      <c r="Y760" s="139"/>
      <c r="Z760" s="139"/>
      <c r="AA760" s="139"/>
      <c r="AB760" s="139"/>
      <c r="AC760" s="139"/>
      <c r="AD760" s="139"/>
      <c r="AE760" s="139"/>
      <c r="AF760" s="140"/>
      <c r="AG760" s="140"/>
      <c r="AH760" s="140"/>
      <c r="AI760" s="140"/>
      <c r="AJ760" s="140"/>
      <c r="AK760" s="140"/>
      <c r="AL760" s="140"/>
      <c r="AM760" s="140"/>
      <c r="AN760" s="140"/>
      <c r="AO760" s="140"/>
      <c r="AP760" s="140"/>
      <c r="AQ760" s="140"/>
      <c r="AR760" s="140"/>
      <c r="AS760" s="140"/>
      <c r="AT760" s="140"/>
      <c r="AU760" s="140"/>
      <c r="AV760" s="140"/>
      <c r="AW760" s="140"/>
      <c r="AX760" s="140"/>
      <c r="AY760" s="140"/>
      <c r="AZ760" s="140"/>
      <c r="BA760" s="140"/>
      <c r="BB760" s="140"/>
      <c r="BC760" s="140"/>
      <c r="BD760" s="140"/>
      <c r="BE760" s="140"/>
    </row>
    <row r="761" s="119" customFormat="1" ht="48" customHeight="1" outlineLevel="2" spans="1:57">
      <c r="A761" s="162">
        <f>1+N(A760)</f>
        <v>3</v>
      </c>
      <c r="B761" s="14" t="s">
        <v>71</v>
      </c>
      <c r="C761" s="15" t="s">
        <v>72</v>
      </c>
      <c r="D761" s="142" t="s">
        <v>63</v>
      </c>
      <c r="E761" s="143">
        <v>10</v>
      </c>
      <c r="F761" s="143">
        <f>$F$11</f>
        <v>40</v>
      </c>
      <c r="G761" s="143">
        <f>$G$11</f>
        <v>15</v>
      </c>
      <c r="H761" s="143">
        <f>$H$11</f>
        <v>0.8</v>
      </c>
      <c r="I761" s="17">
        <f>(F761+G761+H761)*$I$3</f>
        <v>5.58</v>
      </c>
      <c r="J761" s="18">
        <f>ROUND(SUM(F761:I761),2)</f>
        <v>61.38</v>
      </c>
      <c r="K761" s="19">
        <f>ROUND(J761*E761,2)</f>
        <v>613.8</v>
      </c>
      <c r="L761" s="178"/>
      <c r="M761" s="139">
        <v>1</v>
      </c>
      <c r="N761" s="139">
        <v>558</v>
      </c>
      <c r="O761" s="139"/>
      <c r="P761" s="37">
        <f>Q761+Q761*R761+S761+T761+U761</f>
        <v>55.8</v>
      </c>
      <c r="Q761" s="99">
        <f>$Q$11</f>
        <v>15</v>
      </c>
      <c r="R761" s="163">
        <f>$R$11</f>
        <v>0</v>
      </c>
      <c r="S761" s="99">
        <f>$S$11</f>
        <v>40</v>
      </c>
      <c r="T761" s="99">
        <f>$T$11</f>
        <v>0.5</v>
      </c>
      <c r="U761" s="99">
        <f>$U$11</f>
        <v>0.3</v>
      </c>
      <c r="V761" s="37">
        <f>P761*E761</f>
        <v>558</v>
      </c>
      <c r="W761" s="139"/>
      <c r="X761" s="139"/>
      <c r="Y761" s="139"/>
      <c r="Z761" s="139"/>
      <c r="AA761" s="139"/>
      <c r="AB761" s="139"/>
      <c r="AC761" s="139"/>
      <c r="AD761" s="139"/>
      <c r="AE761" s="139"/>
      <c r="AF761" s="140"/>
      <c r="AG761" s="140"/>
      <c r="AH761" s="140"/>
      <c r="AI761" s="140"/>
      <c r="AJ761" s="140"/>
      <c r="AK761" s="140"/>
      <c r="AL761" s="140"/>
      <c r="AM761" s="140"/>
      <c r="AN761" s="140"/>
      <c r="AO761" s="140"/>
      <c r="AP761" s="140"/>
      <c r="AQ761" s="140"/>
      <c r="AR761" s="140"/>
      <c r="AS761" s="140"/>
      <c r="AT761" s="140"/>
      <c r="AU761" s="140"/>
      <c r="AV761" s="140"/>
      <c r="AW761" s="140"/>
      <c r="AX761" s="140"/>
      <c r="AY761" s="140"/>
      <c r="AZ761" s="140"/>
      <c r="BA761" s="140"/>
      <c r="BB761" s="140"/>
      <c r="BC761" s="140"/>
      <c r="BD761" s="140"/>
      <c r="BE761" s="140"/>
    </row>
    <row r="762" s="119" customFormat="1" ht="36" customHeight="1" outlineLevel="2" spans="1:57">
      <c r="A762" s="162">
        <f>1+N(A761)</f>
        <v>4</v>
      </c>
      <c r="B762" s="14" t="s">
        <v>68</v>
      </c>
      <c r="C762" s="15" t="s">
        <v>69</v>
      </c>
      <c r="D762" s="142" t="s">
        <v>70</v>
      </c>
      <c r="E762" s="143">
        <v>8.3</v>
      </c>
      <c r="F762" s="143">
        <f>$F$10</f>
        <v>12</v>
      </c>
      <c r="G762" s="143">
        <f>$G$10</f>
        <v>19.57</v>
      </c>
      <c r="H762" s="143">
        <f>$H$10</f>
        <v>0.5</v>
      </c>
      <c r="I762" s="17">
        <f>(F762+G762+H762)*$I$3</f>
        <v>3.207</v>
      </c>
      <c r="J762" s="18">
        <f>ROUND(SUM(F762:I762),2)</f>
        <v>35.28</v>
      </c>
      <c r="K762" s="19">
        <f>ROUND(J762*E762,2)</f>
        <v>292.82</v>
      </c>
      <c r="L762" s="178"/>
      <c r="M762" s="139">
        <v>1</v>
      </c>
      <c r="N762" s="139">
        <v>266.18</v>
      </c>
      <c r="O762" s="139"/>
      <c r="P762" s="37">
        <f>Q762+Q762*R762+S762+T762+U762</f>
        <v>32.07</v>
      </c>
      <c r="Q762" s="99">
        <f>$Q$10</f>
        <v>19</v>
      </c>
      <c r="R762" s="163">
        <f>$R$10</f>
        <v>0.03</v>
      </c>
      <c r="S762" s="99">
        <f>$S$10</f>
        <v>12</v>
      </c>
      <c r="T762" s="99">
        <f>$T$10</f>
        <v>0.3</v>
      </c>
      <c r="U762" s="99">
        <f>$U$10</f>
        <v>0.2</v>
      </c>
      <c r="V762" s="37">
        <f>P762*E762</f>
        <v>266.181</v>
      </c>
      <c r="W762" s="139"/>
      <c r="X762" s="139"/>
      <c r="Y762" s="139"/>
      <c r="Z762" s="139"/>
      <c r="AA762" s="139"/>
      <c r="AB762" s="139"/>
      <c r="AC762" s="139"/>
      <c r="AD762" s="139"/>
      <c r="AE762" s="139"/>
      <c r="AF762" s="140"/>
      <c r="AG762" s="140"/>
      <c r="AH762" s="140"/>
      <c r="AI762" s="140"/>
      <c r="AJ762" s="140"/>
      <c r="AK762" s="140"/>
      <c r="AL762" s="140"/>
      <c r="AM762" s="140"/>
      <c r="AN762" s="140"/>
      <c r="AO762" s="140"/>
      <c r="AP762" s="140"/>
      <c r="AQ762" s="140"/>
      <c r="AR762" s="140"/>
      <c r="AS762" s="140"/>
      <c r="AT762" s="140"/>
      <c r="AU762" s="140"/>
      <c r="AV762" s="140"/>
      <c r="AW762" s="140"/>
      <c r="AX762" s="140"/>
      <c r="AY762" s="140"/>
      <c r="AZ762" s="140"/>
      <c r="BA762" s="140"/>
      <c r="BB762" s="140"/>
      <c r="BC762" s="140"/>
      <c r="BD762" s="140"/>
      <c r="BE762" s="140"/>
    </row>
    <row r="763" s="119" customFormat="1" ht="24" customHeight="1" outlineLevel="1" spans="1:57">
      <c r="A763" s="141"/>
      <c r="B763" s="14" t="s">
        <v>73</v>
      </c>
      <c r="C763" s="15"/>
      <c r="D763" s="142"/>
      <c r="E763" s="143"/>
      <c r="F763" s="143"/>
      <c r="G763" s="143"/>
      <c r="H763" s="143"/>
      <c r="I763" s="143"/>
      <c r="J763" s="143"/>
      <c r="K763" s="144"/>
      <c r="L763" s="178"/>
      <c r="M763" s="139"/>
      <c r="N763" s="139"/>
      <c r="O763" s="139"/>
      <c r="P763" s="137"/>
      <c r="Q763" s="137"/>
      <c r="R763" s="138"/>
      <c r="S763" s="137"/>
      <c r="T763" s="137"/>
      <c r="U763" s="137"/>
      <c r="V763" s="137"/>
      <c r="W763" s="139"/>
      <c r="X763" s="139"/>
      <c r="Y763" s="139"/>
      <c r="Z763" s="139"/>
      <c r="AA763" s="139"/>
      <c r="AB763" s="139"/>
      <c r="AC763" s="139"/>
      <c r="AD763" s="139"/>
      <c r="AE763" s="139"/>
      <c r="AF763" s="140"/>
      <c r="AG763" s="140"/>
      <c r="AH763" s="140"/>
      <c r="AI763" s="140"/>
      <c r="AJ763" s="140"/>
      <c r="AK763" s="140"/>
      <c r="AL763" s="140"/>
      <c r="AM763" s="140"/>
      <c r="AN763" s="140"/>
      <c r="AO763" s="140"/>
      <c r="AP763" s="140"/>
      <c r="AQ763" s="140"/>
      <c r="AR763" s="140"/>
      <c r="AS763" s="140"/>
      <c r="AT763" s="140"/>
      <c r="AU763" s="140"/>
      <c r="AV763" s="140"/>
      <c r="AW763" s="140"/>
      <c r="AX763" s="140"/>
      <c r="AY763" s="140"/>
      <c r="AZ763" s="140"/>
      <c r="BA763" s="140"/>
      <c r="BB763" s="140"/>
      <c r="BC763" s="140"/>
      <c r="BD763" s="140"/>
      <c r="BE763" s="140"/>
    </row>
    <row r="764" s="119" customFormat="1" ht="96" customHeight="1" outlineLevel="2" spans="1:57">
      <c r="A764" s="162">
        <f t="shared" ref="A764:A772" si="219">1+N(A763)</f>
        <v>1</v>
      </c>
      <c r="B764" s="165" t="s">
        <v>76</v>
      </c>
      <c r="C764" s="166" t="s">
        <v>77</v>
      </c>
      <c r="D764" s="142" t="s">
        <v>63</v>
      </c>
      <c r="E764" s="143">
        <f>22.951+0.814</f>
        <v>23.765</v>
      </c>
      <c r="F764" s="143">
        <f>$F$14</f>
        <v>145</v>
      </c>
      <c r="G764" s="143">
        <f>$G$14</f>
        <v>651</v>
      </c>
      <c r="H764" s="143">
        <f>$H$14</f>
        <v>113.55</v>
      </c>
      <c r="I764" s="17">
        <f t="shared" ref="I764:I772" si="220">(F764+G764+H764)*$I$3</f>
        <v>90.955</v>
      </c>
      <c r="J764" s="18">
        <f t="shared" ref="J764:J772" si="221">ROUND(SUM(F764:I764),2)</f>
        <v>1000.51</v>
      </c>
      <c r="K764" s="19">
        <f t="shared" ref="K764:K772" si="222">ROUND(J764*E764,2)</f>
        <v>23777.12</v>
      </c>
      <c r="L764" s="178"/>
      <c r="M764" s="139">
        <v>1</v>
      </c>
      <c r="N764" s="139">
        <v>21615.46</v>
      </c>
      <c r="O764" s="139"/>
      <c r="P764" s="37">
        <f t="shared" ref="P764:P772" si="223">Q764+Q764*R764+S764+T764+U764</f>
        <v>909.55</v>
      </c>
      <c r="Q764" s="99">
        <f>$Q$14</f>
        <v>620</v>
      </c>
      <c r="R764" s="163">
        <f>$R$14</f>
        <v>0.05</v>
      </c>
      <c r="S764" s="99">
        <f>$S$14</f>
        <v>145</v>
      </c>
      <c r="T764" s="99">
        <f>$T$14</f>
        <v>111.75</v>
      </c>
      <c r="U764" s="99">
        <f>$U$14</f>
        <v>1.8</v>
      </c>
      <c r="V764" s="37">
        <f t="shared" ref="V764:V772" si="224">P764*E764</f>
        <v>21615.45575</v>
      </c>
      <c r="W764" s="139"/>
      <c r="X764" s="139"/>
      <c r="Y764" s="139"/>
      <c r="Z764" s="139"/>
      <c r="AA764" s="139"/>
      <c r="AB764" s="139"/>
      <c r="AC764" s="139"/>
      <c r="AD764" s="139"/>
      <c r="AE764" s="139"/>
      <c r="AF764" s="140"/>
      <c r="AG764" s="140"/>
      <c r="AH764" s="140"/>
      <c r="AI764" s="140"/>
      <c r="AJ764" s="140"/>
      <c r="AK764" s="140"/>
      <c r="AL764" s="140"/>
      <c r="AM764" s="140"/>
      <c r="AN764" s="140"/>
      <c r="AO764" s="140"/>
      <c r="AP764" s="140"/>
      <c r="AQ764" s="140"/>
      <c r="AR764" s="140"/>
      <c r="AS764" s="140"/>
      <c r="AT764" s="140"/>
      <c r="AU764" s="140"/>
      <c r="AV764" s="140"/>
      <c r="AW764" s="140"/>
      <c r="AX764" s="140"/>
      <c r="AY764" s="140"/>
      <c r="AZ764" s="140"/>
      <c r="BA764" s="140"/>
      <c r="BB764" s="140"/>
      <c r="BC764" s="140"/>
      <c r="BD764" s="140"/>
      <c r="BE764" s="140"/>
    </row>
    <row r="765" s="119" customFormat="1" ht="48" customHeight="1" outlineLevel="2" spans="1:57">
      <c r="A765" s="162">
        <f t="shared" si="219"/>
        <v>2</v>
      </c>
      <c r="B765" s="14" t="s">
        <v>82</v>
      </c>
      <c r="C765" s="166" t="s">
        <v>83</v>
      </c>
      <c r="D765" s="142" t="s">
        <v>63</v>
      </c>
      <c r="E765" s="143">
        <f>0.82*3.4*2+1.046*2.77</f>
        <v>8.47342</v>
      </c>
      <c r="F765" s="143">
        <f>$F$17</f>
        <v>110</v>
      </c>
      <c r="G765" s="143">
        <f>$G$17</f>
        <v>454.5</v>
      </c>
      <c r="H765" s="143">
        <f>$H$17</f>
        <v>55.2</v>
      </c>
      <c r="I765" s="17">
        <f t="shared" si="220"/>
        <v>61.97</v>
      </c>
      <c r="J765" s="18">
        <f t="shared" si="221"/>
        <v>681.67</v>
      </c>
      <c r="K765" s="19">
        <f t="shared" si="222"/>
        <v>5776.08</v>
      </c>
      <c r="L765" s="178"/>
      <c r="M765" s="139">
        <v>1</v>
      </c>
      <c r="N765" s="139">
        <v>5250.98</v>
      </c>
      <c r="O765" s="139"/>
      <c r="P765" s="37">
        <f t="shared" si="223"/>
        <v>619.7</v>
      </c>
      <c r="Q765" s="99">
        <f>$Q$17</f>
        <v>450</v>
      </c>
      <c r="R765" s="163">
        <f>$R$17</f>
        <v>0.01</v>
      </c>
      <c r="S765" s="99">
        <f>$S$17</f>
        <v>110</v>
      </c>
      <c r="T765" s="99">
        <f>$T$17</f>
        <v>54</v>
      </c>
      <c r="U765" s="99">
        <f>$U$17</f>
        <v>1.2</v>
      </c>
      <c r="V765" s="37">
        <f t="shared" si="224"/>
        <v>5250.978374</v>
      </c>
      <c r="W765" s="139"/>
      <c r="X765" s="139"/>
      <c r="Y765" s="139"/>
      <c r="Z765" s="139"/>
      <c r="AA765" s="139"/>
      <c r="AB765" s="139"/>
      <c r="AC765" s="139"/>
      <c r="AD765" s="139"/>
      <c r="AE765" s="139"/>
      <c r="AF765" s="140"/>
      <c r="AG765" s="140"/>
      <c r="AH765" s="140"/>
      <c r="AI765" s="140"/>
      <c r="AJ765" s="140"/>
      <c r="AK765" s="140"/>
      <c r="AL765" s="140"/>
      <c r="AM765" s="140"/>
      <c r="AN765" s="140"/>
      <c r="AO765" s="140"/>
      <c r="AP765" s="140"/>
      <c r="AQ765" s="140"/>
      <c r="AR765" s="140"/>
      <c r="AS765" s="140"/>
      <c r="AT765" s="140"/>
      <c r="AU765" s="140"/>
      <c r="AV765" s="140"/>
      <c r="AW765" s="140"/>
      <c r="AX765" s="140"/>
      <c r="AY765" s="140"/>
      <c r="AZ765" s="140"/>
      <c r="BA765" s="140"/>
      <c r="BB765" s="140"/>
      <c r="BC765" s="140"/>
      <c r="BD765" s="140"/>
      <c r="BE765" s="140"/>
    </row>
    <row r="766" s="119" customFormat="1" ht="48" customHeight="1" outlineLevel="2" spans="1:57">
      <c r="A766" s="162">
        <f t="shared" si="219"/>
        <v>3</v>
      </c>
      <c r="B766" s="165" t="s">
        <v>84</v>
      </c>
      <c r="C766" s="166" t="s">
        <v>83</v>
      </c>
      <c r="D766" s="165" t="s">
        <v>63</v>
      </c>
      <c r="E766" s="143">
        <f>0.34*3.4*2*2</f>
        <v>4.624</v>
      </c>
      <c r="F766" s="143">
        <f>$F$18</f>
        <v>110</v>
      </c>
      <c r="G766" s="143">
        <f>$G$18</f>
        <v>454.5</v>
      </c>
      <c r="H766" s="143">
        <f>$H$18</f>
        <v>55.2</v>
      </c>
      <c r="I766" s="17">
        <f t="shared" si="220"/>
        <v>61.97</v>
      </c>
      <c r="J766" s="18">
        <f t="shared" si="221"/>
        <v>681.67</v>
      </c>
      <c r="K766" s="19">
        <f t="shared" si="222"/>
        <v>3152.04</v>
      </c>
      <c r="L766" s="178"/>
      <c r="M766" s="139">
        <v>1</v>
      </c>
      <c r="N766" s="139">
        <v>2865.49</v>
      </c>
      <c r="O766" s="139"/>
      <c r="P766" s="37">
        <f t="shared" si="223"/>
        <v>619.7</v>
      </c>
      <c r="Q766" s="99">
        <f>$Q$18</f>
        <v>450</v>
      </c>
      <c r="R766" s="163">
        <f>$R$18</f>
        <v>0.01</v>
      </c>
      <c r="S766" s="99">
        <f>$S$18</f>
        <v>110</v>
      </c>
      <c r="T766" s="99">
        <f>$T$18</f>
        <v>54</v>
      </c>
      <c r="U766" s="99">
        <f>$U$18</f>
        <v>1.2</v>
      </c>
      <c r="V766" s="37">
        <f t="shared" si="224"/>
        <v>2865.4928</v>
      </c>
      <c r="W766" s="139"/>
      <c r="X766" s="139"/>
      <c r="Y766" s="139"/>
      <c r="Z766" s="139"/>
      <c r="AA766" s="139"/>
      <c r="AB766" s="139"/>
      <c r="AC766" s="139"/>
      <c r="AD766" s="139"/>
      <c r="AE766" s="139"/>
      <c r="AF766" s="140"/>
      <c r="AG766" s="140"/>
      <c r="AH766" s="140"/>
      <c r="AI766" s="140"/>
      <c r="AJ766" s="140"/>
      <c r="AK766" s="140"/>
      <c r="AL766" s="140"/>
      <c r="AM766" s="140"/>
      <c r="AN766" s="140"/>
      <c r="AO766" s="140"/>
      <c r="AP766" s="140"/>
      <c r="AQ766" s="140"/>
      <c r="AR766" s="140"/>
      <c r="AS766" s="140"/>
      <c r="AT766" s="140"/>
      <c r="AU766" s="140"/>
      <c r="AV766" s="140"/>
      <c r="AW766" s="140"/>
      <c r="AX766" s="140"/>
      <c r="AY766" s="140"/>
      <c r="AZ766" s="140"/>
      <c r="BA766" s="140"/>
      <c r="BB766" s="140"/>
      <c r="BC766" s="140"/>
      <c r="BD766" s="140"/>
      <c r="BE766" s="140"/>
    </row>
    <row r="767" s="119" customFormat="1" ht="60" customHeight="1" outlineLevel="2" spans="1:57">
      <c r="A767" s="162">
        <f t="shared" si="219"/>
        <v>4</v>
      </c>
      <c r="B767" s="165" t="s">
        <v>85</v>
      </c>
      <c r="C767" s="166" t="s">
        <v>86</v>
      </c>
      <c r="D767" s="165" t="s">
        <v>63</v>
      </c>
      <c r="E767" s="143">
        <f>+(0.061+1.09+0.114+0.074)*0.95*2</f>
        <v>2.5441</v>
      </c>
      <c r="F767" s="143">
        <f>$F$19</f>
        <v>110</v>
      </c>
      <c r="G767" s="143">
        <f>$G$19</f>
        <v>454.5</v>
      </c>
      <c r="H767" s="143">
        <f>$H$19</f>
        <v>55.2</v>
      </c>
      <c r="I767" s="17">
        <f t="shared" si="220"/>
        <v>61.97</v>
      </c>
      <c r="J767" s="18">
        <f t="shared" si="221"/>
        <v>681.67</v>
      </c>
      <c r="K767" s="19">
        <f t="shared" si="222"/>
        <v>1734.24</v>
      </c>
      <c r="L767" s="178"/>
      <c r="M767" s="139">
        <v>1</v>
      </c>
      <c r="N767" s="139">
        <v>1576.58</v>
      </c>
      <c r="O767" s="139"/>
      <c r="P767" s="37">
        <f t="shared" si="223"/>
        <v>619.7</v>
      </c>
      <c r="Q767" s="99">
        <f>$Q$19</f>
        <v>450</v>
      </c>
      <c r="R767" s="163">
        <f>$R$19</f>
        <v>0.01</v>
      </c>
      <c r="S767" s="99">
        <f>$S$19</f>
        <v>110</v>
      </c>
      <c r="T767" s="99">
        <f>$T$19</f>
        <v>54</v>
      </c>
      <c r="U767" s="99">
        <f>$U$19</f>
        <v>1.2</v>
      </c>
      <c r="V767" s="37">
        <f t="shared" si="224"/>
        <v>1576.57877</v>
      </c>
      <c r="W767" s="139"/>
      <c r="X767" s="139"/>
      <c r="Y767" s="139"/>
      <c r="Z767" s="139"/>
      <c r="AA767" s="139"/>
      <c r="AB767" s="139"/>
      <c r="AC767" s="139"/>
      <c r="AD767" s="139"/>
      <c r="AE767" s="139"/>
      <c r="AF767" s="140"/>
      <c r="AG767" s="140"/>
      <c r="AH767" s="140"/>
      <c r="AI767" s="140"/>
      <c r="AJ767" s="140"/>
      <c r="AK767" s="140"/>
      <c r="AL767" s="140"/>
      <c r="AM767" s="140"/>
      <c r="AN767" s="140"/>
      <c r="AO767" s="140"/>
      <c r="AP767" s="140"/>
      <c r="AQ767" s="140"/>
      <c r="AR767" s="140"/>
      <c r="AS767" s="140"/>
      <c r="AT767" s="140"/>
      <c r="AU767" s="140"/>
      <c r="AV767" s="140"/>
      <c r="AW767" s="140"/>
      <c r="AX767" s="140"/>
      <c r="AY767" s="140"/>
      <c r="AZ767" s="140"/>
      <c r="BA767" s="140"/>
      <c r="BB767" s="140"/>
      <c r="BC767" s="140"/>
      <c r="BD767" s="140"/>
      <c r="BE767" s="140"/>
    </row>
    <row r="768" s="119" customFormat="1" ht="48" customHeight="1" outlineLevel="2" spans="1:57">
      <c r="A768" s="162">
        <f t="shared" si="219"/>
        <v>5</v>
      </c>
      <c r="B768" s="165" t="s">
        <v>87</v>
      </c>
      <c r="C768" s="166" t="s">
        <v>88</v>
      </c>
      <c r="D768" s="165" t="s">
        <v>63</v>
      </c>
      <c r="E768" s="143">
        <v>0.252</v>
      </c>
      <c r="F768" s="143">
        <f>$F$20</f>
        <v>110</v>
      </c>
      <c r="G768" s="143">
        <f>$G$20</f>
        <v>454.5</v>
      </c>
      <c r="H768" s="143">
        <f>$H$20</f>
        <v>55.2</v>
      </c>
      <c r="I768" s="17">
        <f t="shared" si="220"/>
        <v>61.97</v>
      </c>
      <c r="J768" s="18">
        <f t="shared" si="221"/>
        <v>681.67</v>
      </c>
      <c r="K768" s="19">
        <f t="shared" si="222"/>
        <v>171.78</v>
      </c>
      <c r="L768" s="178"/>
      <c r="M768" s="139">
        <v>1</v>
      </c>
      <c r="N768" s="139">
        <v>156.16</v>
      </c>
      <c r="O768" s="139"/>
      <c r="P768" s="37">
        <f t="shared" si="223"/>
        <v>619.7</v>
      </c>
      <c r="Q768" s="99">
        <f>$Q$20</f>
        <v>450</v>
      </c>
      <c r="R768" s="163">
        <f>$R$20</f>
        <v>0.01</v>
      </c>
      <c r="S768" s="99">
        <f>$S$20</f>
        <v>110</v>
      </c>
      <c r="T768" s="99">
        <f>$T$20</f>
        <v>54</v>
      </c>
      <c r="U768" s="99">
        <f>$U$20</f>
        <v>1.2</v>
      </c>
      <c r="V768" s="37">
        <f t="shared" si="224"/>
        <v>156.1644</v>
      </c>
      <c r="W768" s="139"/>
      <c r="X768" s="139"/>
      <c r="Y768" s="139"/>
      <c r="Z768" s="139"/>
      <c r="AA768" s="139"/>
      <c r="AB768" s="139"/>
      <c r="AC768" s="139"/>
      <c r="AD768" s="139"/>
      <c r="AE768" s="139"/>
      <c r="AF768" s="140"/>
      <c r="AG768" s="140"/>
      <c r="AH768" s="140"/>
      <c r="AI768" s="140"/>
      <c r="AJ768" s="140"/>
      <c r="AK768" s="140"/>
      <c r="AL768" s="140"/>
      <c r="AM768" s="140"/>
      <c r="AN768" s="140"/>
      <c r="AO768" s="140"/>
      <c r="AP768" s="140"/>
      <c r="AQ768" s="140"/>
      <c r="AR768" s="140"/>
      <c r="AS768" s="140"/>
      <c r="AT768" s="140"/>
      <c r="AU768" s="140"/>
      <c r="AV768" s="140"/>
      <c r="AW768" s="140"/>
      <c r="AX768" s="140"/>
      <c r="AY768" s="140"/>
      <c r="AZ768" s="140"/>
      <c r="BA768" s="140"/>
      <c r="BB768" s="140"/>
      <c r="BC768" s="140"/>
      <c r="BD768" s="140"/>
      <c r="BE768" s="140"/>
    </row>
    <row r="769" s="119" customFormat="1" ht="48" customHeight="1" outlineLevel="2" spans="1:57">
      <c r="A769" s="162">
        <f t="shared" si="219"/>
        <v>6</v>
      </c>
      <c r="B769" s="165" t="s">
        <v>91</v>
      </c>
      <c r="C769" s="166" t="s">
        <v>92</v>
      </c>
      <c r="D769" s="165" t="s">
        <v>70</v>
      </c>
      <c r="E769" s="143">
        <v>7.251</v>
      </c>
      <c r="F769" s="143">
        <f>$F$22</f>
        <v>12</v>
      </c>
      <c r="G769" s="143">
        <f>$G$22</f>
        <v>25.75</v>
      </c>
      <c r="H769" s="143">
        <f>$H$22</f>
        <v>3.8</v>
      </c>
      <c r="I769" s="17">
        <f t="shared" si="220"/>
        <v>4.155</v>
      </c>
      <c r="J769" s="18">
        <f t="shared" si="221"/>
        <v>45.71</v>
      </c>
      <c r="K769" s="19">
        <f t="shared" si="222"/>
        <v>331.44</v>
      </c>
      <c r="L769" s="178"/>
      <c r="M769" s="139">
        <v>1</v>
      </c>
      <c r="N769" s="139">
        <v>301.28</v>
      </c>
      <c r="O769" s="139"/>
      <c r="P769" s="37">
        <f t="shared" si="223"/>
        <v>41.55</v>
      </c>
      <c r="Q769" s="99">
        <f>$Q$22</f>
        <v>25</v>
      </c>
      <c r="R769" s="163">
        <f>$R$22</f>
        <v>0.03</v>
      </c>
      <c r="S769" s="99">
        <f>$S$22</f>
        <v>12</v>
      </c>
      <c r="T769" s="99">
        <f>$T$22</f>
        <v>3.5</v>
      </c>
      <c r="U769" s="99">
        <f>$U$22</f>
        <v>0.3</v>
      </c>
      <c r="V769" s="37">
        <f t="shared" si="224"/>
        <v>301.27905</v>
      </c>
      <c r="W769" s="139"/>
      <c r="X769" s="139"/>
      <c r="Y769" s="139"/>
      <c r="Z769" s="139"/>
      <c r="AA769" s="139"/>
      <c r="AB769" s="139"/>
      <c r="AC769" s="139"/>
      <c r="AD769" s="139"/>
      <c r="AE769" s="139"/>
      <c r="AF769" s="140"/>
      <c r="AG769" s="140"/>
      <c r="AH769" s="140"/>
      <c r="AI769" s="140"/>
      <c r="AJ769" s="140"/>
      <c r="AK769" s="140"/>
      <c r="AL769" s="140"/>
      <c r="AM769" s="140"/>
      <c r="AN769" s="140"/>
      <c r="AO769" s="140"/>
      <c r="AP769" s="140"/>
      <c r="AQ769" s="140"/>
      <c r="AR769" s="140"/>
      <c r="AS769" s="140"/>
      <c r="AT769" s="140"/>
      <c r="AU769" s="140"/>
      <c r="AV769" s="140"/>
      <c r="AW769" s="140"/>
      <c r="AX769" s="140"/>
      <c r="AY769" s="140"/>
      <c r="AZ769" s="140"/>
      <c r="BA769" s="140"/>
      <c r="BB769" s="140"/>
      <c r="BC769" s="140"/>
      <c r="BD769" s="140"/>
      <c r="BE769" s="140"/>
    </row>
    <row r="770" s="119" customFormat="1" ht="36" customHeight="1" outlineLevel="2" spans="1:57">
      <c r="A770" s="162">
        <f t="shared" si="219"/>
        <v>7</v>
      </c>
      <c r="B770" s="165" t="s">
        <v>93</v>
      </c>
      <c r="C770" s="166" t="s">
        <v>94</v>
      </c>
      <c r="D770" s="165" t="s">
        <v>70</v>
      </c>
      <c r="E770" s="143">
        <f>0.17*2</f>
        <v>0.34</v>
      </c>
      <c r="F770" s="143">
        <f>$F$23</f>
        <v>12</v>
      </c>
      <c r="G770" s="143">
        <f>$G$23</f>
        <v>30.385</v>
      </c>
      <c r="H770" s="143">
        <f>$H$23</f>
        <v>3.8</v>
      </c>
      <c r="I770" s="17">
        <f t="shared" si="220"/>
        <v>4.6185</v>
      </c>
      <c r="J770" s="18">
        <f t="shared" si="221"/>
        <v>50.8</v>
      </c>
      <c r="K770" s="19">
        <f t="shared" si="222"/>
        <v>17.27</v>
      </c>
      <c r="L770" s="178"/>
      <c r="M770" s="139">
        <v>1</v>
      </c>
      <c r="N770" s="139">
        <v>15.7</v>
      </c>
      <c r="O770" s="139"/>
      <c r="P770" s="37">
        <f t="shared" si="223"/>
        <v>46.185</v>
      </c>
      <c r="Q770" s="99">
        <f>$Q$23</f>
        <v>29.5</v>
      </c>
      <c r="R770" s="163">
        <f>$R$23</f>
        <v>0.03</v>
      </c>
      <c r="S770" s="99">
        <f>$S$23</f>
        <v>12</v>
      </c>
      <c r="T770" s="99">
        <f>$T$23</f>
        <v>3.5</v>
      </c>
      <c r="U770" s="99">
        <f>$U$23</f>
        <v>0.3</v>
      </c>
      <c r="V770" s="37">
        <f t="shared" si="224"/>
        <v>15.7029</v>
      </c>
      <c r="W770" s="139"/>
      <c r="X770" s="139"/>
      <c r="Y770" s="139"/>
      <c r="Z770" s="139"/>
      <c r="AA770" s="139"/>
      <c r="AB770" s="139"/>
      <c r="AC770" s="139"/>
      <c r="AD770" s="139"/>
      <c r="AE770" s="139"/>
      <c r="AF770" s="140"/>
      <c r="AG770" s="140"/>
      <c r="AH770" s="140"/>
      <c r="AI770" s="140"/>
      <c r="AJ770" s="140"/>
      <c r="AK770" s="140"/>
      <c r="AL770" s="140"/>
      <c r="AM770" s="140"/>
      <c r="AN770" s="140"/>
      <c r="AO770" s="140"/>
      <c r="AP770" s="140"/>
      <c r="AQ770" s="140"/>
      <c r="AR770" s="140"/>
      <c r="AS770" s="140"/>
      <c r="AT770" s="140"/>
      <c r="AU770" s="140"/>
      <c r="AV770" s="140"/>
      <c r="AW770" s="140"/>
      <c r="AX770" s="140"/>
      <c r="AY770" s="140"/>
      <c r="AZ770" s="140"/>
      <c r="BA770" s="140"/>
      <c r="BB770" s="140"/>
      <c r="BC770" s="140"/>
      <c r="BD770" s="140"/>
      <c r="BE770" s="140"/>
    </row>
    <row r="771" s="119" customFormat="1" ht="48" customHeight="1" outlineLevel="2" spans="1:57">
      <c r="A771" s="162">
        <f t="shared" si="219"/>
        <v>8</v>
      </c>
      <c r="B771" s="165" t="s">
        <v>97</v>
      </c>
      <c r="C771" s="166" t="s">
        <v>98</v>
      </c>
      <c r="D771" s="165" t="s">
        <v>70</v>
      </c>
      <c r="E771" s="143">
        <v>6.911</v>
      </c>
      <c r="F771" s="143">
        <f>$F$25</f>
        <v>22</v>
      </c>
      <c r="G771" s="143">
        <f>$G$25</f>
        <v>58.195</v>
      </c>
      <c r="H771" s="143">
        <f>$H$25</f>
        <v>6.3</v>
      </c>
      <c r="I771" s="17">
        <f t="shared" si="220"/>
        <v>8.6495</v>
      </c>
      <c r="J771" s="18">
        <f t="shared" si="221"/>
        <v>95.14</v>
      </c>
      <c r="K771" s="19">
        <f t="shared" si="222"/>
        <v>657.51</v>
      </c>
      <c r="L771" s="178"/>
      <c r="M771" s="139">
        <v>1</v>
      </c>
      <c r="N771" s="139">
        <v>597.8</v>
      </c>
      <c r="O771" s="139"/>
      <c r="P771" s="37">
        <f t="shared" si="223"/>
        <v>86.495</v>
      </c>
      <c r="Q771" s="99">
        <f>$Q$25</f>
        <v>56.5</v>
      </c>
      <c r="R771" s="163">
        <f>$R$25</f>
        <v>0.03</v>
      </c>
      <c r="S771" s="99">
        <f>$S$25</f>
        <v>22</v>
      </c>
      <c r="T771" s="99">
        <f>$T$25</f>
        <v>6</v>
      </c>
      <c r="U771" s="99">
        <f>$U$25</f>
        <v>0.3</v>
      </c>
      <c r="V771" s="37">
        <f t="shared" si="224"/>
        <v>597.766945</v>
      </c>
      <c r="W771" s="139"/>
      <c r="X771" s="139"/>
      <c r="Y771" s="139"/>
      <c r="Z771" s="139"/>
      <c r="AA771" s="139"/>
      <c r="AB771" s="139"/>
      <c r="AC771" s="139"/>
      <c r="AD771" s="139"/>
      <c r="AE771" s="139"/>
      <c r="AF771" s="140"/>
      <c r="AG771" s="140"/>
      <c r="AH771" s="140"/>
      <c r="AI771" s="140"/>
      <c r="AJ771" s="140"/>
      <c r="AK771" s="140"/>
      <c r="AL771" s="140"/>
      <c r="AM771" s="140"/>
      <c r="AN771" s="140"/>
      <c r="AO771" s="140"/>
      <c r="AP771" s="140"/>
      <c r="AQ771" s="140"/>
      <c r="AR771" s="140"/>
      <c r="AS771" s="140"/>
      <c r="AT771" s="140"/>
      <c r="AU771" s="140"/>
      <c r="AV771" s="140"/>
      <c r="AW771" s="140"/>
      <c r="AX771" s="140"/>
      <c r="AY771" s="140"/>
      <c r="AZ771" s="140"/>
      <c r="BA771" s="140"/>
      <c r="BB771" s="140"/>
      <c r="BC771" s="140"/>
      <c r="BD771" s="140"/>
      <c r="BE771" s="140"/>
    </row>
    <row r="772" s="119" customFormat="1" ht="48" customHeight="1" outlineLevel="2" spans="1:57">
      <c r="A772" s="162">
        <f t="shared" si="219"/>
        <v>9</v>
      </c>
      <c r="B772" s="165" t="s">
        <v>99</v>
      </c>
      <c r="C772" s="166" t="s">
        <v>100</v>
      </c>
      <c r="D772" s="165" t="s">
        <v>70</v>
      </c>
      <c r="E772" s="143">
        <v>7.251</v>
      </c>
      <c r="F772" s="143">
        <f>$F$26</f>
        <v>12</v>
      </c>
      <c r="G772" s="143">
        <f>$G$26</f>
        <v>23.4325</v>
      </c>
      <c r="H772" s="143">
        <f>$H$26</f>
        <v>3.8</v>
      </c>
      <c r="I772" s="17">
        <f t="shared" si="220"/>
        <v>3.92325</v>
      </c>
      <c r="J772" s="18">
        <f t="shared" si="221"/>
        <v>43.16</v>
      </c>
      <c r="K772" s="19">
        <f t="shared" si="222"/>
        <v>312.95</v>
      </c>
      <c r="L772" s="178"/>
      <c r="M772" s="139">
        <v>1</v>
      </c>
      <c r="N772" s="139">
        <v>284.46</v>
      </c>
      <c r="O772" s="139"/>
      <c r="P772" s="37">
        <f t="shared" si="223"/>
        <v>39.2325</v>
      </c>
      <c r="Q772" s="99">
        <f>$Q$26</f>
        <v>22.75</v>
      </c>
      <c r="R772" s="163">
        <f>$R$26</f>
        <v>0.03</v>
      </c>
      <c r="S772" s="99">
        <f>$S$26</f>
        <v>12</v>
      </c>
      <c r="T772" s="99">
        <f>$T$26</f>
        <v>3.5</v>
      </c>
      <c r="U772" s="99">
        <f>$U$26</f>
        <v>0.3</v>
      </c>
      <c r="V772" s="37">
        <f t="shared" si="224"/>
        <v>284.4748575</v>
      </c>
      <c r="W772" s="139"/>
      <c r="X772" s="139"/>
      <c r="Y772" s="139"/>
      <c r="Z772" s="139"/>
      <c r="AA772" s="139"/>
      <c r="AB772" s="139"/>
      <c r="AC772" s="139"/>
      <c r="AD772" s="139"/>
      <c r="AE772" s="139"/>
      <c r="AF772" s="140"/>
      <c r="AG772" s="140"/>
      <c r="AH772" s="140"/>
      <c r="AI772" s="140"/>
      <c r="AJ772" s="140"/>
      <c r="AK772" s="140"/>
      <c r="AL772" s="140"/>
      <c r="AM772" s="140"/>
      <c r="AN772" s="140"/>
      <c r="AO772" s="140"/>
      <c r="AP772" s="140"/>
      <c r="AQ772" s="140"/>
      <c r="AR772" s="140"/>
      <c r="AS772" s="140"/>
      <c r="AT772" s="140"/>
      <c r="AU772" s="140"/>
      <c r="AV772" s="140"/>
      <c r="AW772" s="140"/>
      <c r="AX772" s="140"/>
      <c r="AY772" s="140"/>
      <c r="AZ772" s="140"/>
      <c r="BA772" s="140"/>
      <c r="BB772" s="140"/>
      <c r="BC772" s="140"/>
      <c r="BD772" s="140"/>
      <c r="BE772" s="140"/>
    </row>
    <row r="773" s="119" customFormat="1" ht="24" customHeight="1" outlineLevel="1" spans="1:57">
      <c r="A773" s="141"/>
      <c r="B773" s="14" t="s">
        <v>101</v>
      </c>
      <c r="C773" s="15"/>
      <c r="D773" s="142"/>
      <c r="E773" s="143"/>
      <c r="F773" s="143"/>
      <c r="G773" s="143"/>
      <c r="H773" s="143"/>
      <c r="I773" s="143"/>
      <c r="J773" s="143"/>
      <c r="K773" s="144"/>
      <c r="L773" s="178"/>
      <c r="M773" s="139"/>
      <c r="N773" s="139"/>
      <c r="O773" s="139"/>
      <c r="P773" s="137"/>
      <c r="Q773" s="137"/>
      <c r="R773" s="138"/>
      <c r="S773" s="137"/>
      <c r="T773" s="137"/>
      <c r="U773" s="137"/>
      <c r="V773" s="137"/>
      <c r="W773" s="139"/>
      <c r="X773" s="139"/>
      <c r="Y773" s="139"/>
      <c r="Z773" s="139"/>
      <c r="AA773" s="139"/>
      <c r="AB773" s="139"/>
      <c r="AC773" s="139"/>
      <c r="AD773" s="139"/>
      <c r="AE773" s="139"/>
      <c r="AF773" s="140"/>
      <c r="AG773" s="140"/>
      <c r="AH773" s="140"/>
      <c r="AI773" s="140"/>
      <c r="AJ773" s="140"/>
      <c r="AK773" s="140"/>
      <c r="AL773" s="140"/>
      <c r="AM773" s="140"/>
      <c r="AN773" s="140"/>
      <c r="AO773" s="140"/>
      <c r="AP773" s="140"/>
      <c r="AQ773" s="140"/>
      <c r="AR773" s="140"/>
      <c r="AS773" s="140"/>
      <c r="AT773" s="140"/>
      <c r="AU773" s="140"/>
      <c r="AV773" s="140"/>
      <c r="AW773" s="140"/>
      <c r="AX773" s="140"/>
      <c r="AY773" s="140"/>
      <c r="AZ773" s="140"/>
      <c r="BA773" s="140"/>
      <c r="BB773" s="140"/>
      <c r="BC773" s="140"/>
      <c r="BD773" s="140"/>
      <c r="BE773" s="140"/>
    </row>
    <row r="774" s="119" customFormat="1" ht="96" customHeight="1" outlineLevel="2" spans="1:57">
      <c r="A774" s="162">
        <f>1+N(A773)</f>
        <v>1</v>
      </c>
      <c r="B774" s="14" t="s">
        <v>102</v>
      </c>
      <c r="C774" s="167" t="s">
        <v>103</v>
      </c>
      <c r="D774" s="142" t="s">
        <v>63</v>
      </c>
      <c r="E774" s="143">
        <v>10</v>
      </c>
      <c r="F774" s="143">
        <f>$F$28</f>
        <v>70</v>
      </c>
      <c r="G774" s="143">
        <f>$G$28</f>
        <v>0</v>
      </c>
      <c r="H774" s="143">
        <f>$H$28</f>
        <v>66.711</v>
      </c>
      <c r="I774" s="17">
        <f>(F774+G774+H774)*$I$3</f>
        <v>13.6711</v>
      </c>
      <c r="J774" s="18">
        <f>ROUND(SUM(F774:I774),2)</f>
        <v>150.38</v>
      </c>
      <c r="K774" s="19">
        <f>ROUND(J774*E774,2)</f>
        <v>1503.8</v>
      </c>
      <c r="L774" s="178"/>
      <c r="M774" s="139">
        <v>1</v>
      </c>
      <c r="N774" s="139">
        <v>1367.1</v>
      </c>
      <c r="O774" s="139"/>
      <c r="P774" s="37">
        <f>Q774+Q774*R774+S774+T774+U774</f>
        <v>136.711</v>
      </c>
      <c r="Q774" s="99">
        <f>$Q$28</f>
        <v>0</v>
      </c>
      <c r="R774" s="163">
        <f>$R$28</f>
        <v>0.01</v>
      </c>
      <c r="S774" s="99">
        <f>$S$28</f>
        <v>70</v>
      </c>
      <c r="T774" s="99">
        <f>$T$28</f>
        <v>64.711</v>
      </c>
      <c r="U774" s="99">
        <f>$U$28</f>
        <v>2</v>
      </c>
      <c r="V774" s="37">
        <f>P774*E774</f>
        <v>1367.11</v>
      </c>
      <c r="W774" s="139"/>
      <c r="X774" s="139"/>
      <c r="Y774" s="139"/>
      <c r="Z774" s="139"/>
      <c r="AA774" s="139"/>
      <c r="AB774" s="139"/>
      <c r="AC774" s="139"/>
      <c r="AD774" s="139"/>
      <c r="AE774" s="139"/>
      <c r="AF774" s="140"/>
      <c r="AG774" s="140"/>
      <c r="AH774" s="140"/>
      <c r="AI774" s="140"/>
      <c r="AJ774" s="140"/>
      <c r="AK774" s="140"/>
      <c r="AL774" s="140"/>
      <c r="AM774" s="140"/>
      <c r="AN774" s="140"/>
      <c r="AO774" s="140"/>
      <c r="AP774" s="140"/>
      <c r="AQ774" s="140"/>
      <c r="AR774" s="140"/>
      <c r="AS774" s="140"/>
      <c r="AT774" s="140"/>
      <c r="AU774" s="140"/>
      <c r="AV774" s="140"/>
      <c r="AW774" s="140"/>
      <c r="AX774" s="140"/>
      <c r="AY774" s="140"/>
      <c r="AZ774" s="140"/>
      <c r="BA774" s="140"/>
      <c r="BB774" s="140"/>
      <c r="BC774" s="140"/>
      <c r="BD774" s="140"/>
      <c r="BE774" s="140"/>
    </row>
    <row r="775" s="119" customFormat="1" ht="72" customHeight="1" outlineLevel="2" spans="1:57">
      <c r="A775" s="162">
        <f>1+N(A774)</f>
        <v>2</v>
      </c>
      <c r="B775" s="14" t="s">
        <v>104</v>
      </c>
      <c r="C775" s="15" t="s">
        <v>105</v>
      </c>
      <c r="D775" s="142" t="s">
        <v>70</v>
      </c>
      <c r="E775" s="143">
        <v>7.9</v>
      </c>
      <c r="F775" s="143">
        <f>$F$29</f>
        <v>50</v>
      </c>
      <c r="G775" s="143">
        <f>$G$29</f>
        <v>0</v>
      </c>
      <c r="H775" s="143">
        <f>$H$29</f>
        <v>22.0941</v>
      </c>
      <c r="I775" s="17">
        <f>(F775+G775+H775)*$I$3</f>
        <v>7.20941</v>
      </c>
      <c r="J775" s="18">
        <f>ROUND(SUM(F775:I775),2)</f>
        <v>79.3</v>
      </c>
      <c r="K775" s="19">
        <f>ROUND(J775*E775,2)</f>
        <v>626.47</v>
      </c>
      <c r="L775" s="178"/>
      <c r="M775" s="139">
        <v>1</v>
      </c>
      <c r="N775" s="139">
        <v>569.51</v>
      </c>
      <c r="O775" s="139"/>
      <c r="P775" s="37">
        <f>Q775+Q775*R775+S775+T775+U775</f>
        <v>72.0941</v>
      </c>
      <c r="Q775" s="99">
        <f>$Q$29</f>
        <v>0</v>
      </c>
      <c r="R775" s="163">
        <f>$R$29</f>
        <v>0.01</v>
      </c>
      <c r="S775" s="99">
        <f>$S$29</f>
        <v>50</v>
      </c>
      <c r="T775" s="99">
        <f>$T$29</f>
        <v>22.0941</v>
      </c>
      <c r="U775" s="99">
        <f>$U$29</f>
        <v>0</v>
      </c>
      <c r="V775" s="37">
        <f>P775*E775</f>
        <v>569.54339</v>
      </c>
      <c r="W775" s="139"/>
      <c r="X775" s="139"/>
      <c r="Y775" s="139"/>
      <c r="Z775" s="139"/>
      <c r="AA775" s="139"/>
      <c r="AB775" s="139"/>
      <c r="AC775" s="139"/>
      <c r="AD775" s="139"/>
      <c r="AE775" s="139"/>
      <c r="AF775" s="140"/>
      <c r="AG775" s="140"/>
      <c r="AH775" s="140"/>
      <c r="AI775" s="140"/>
      <c r="AJ775" s="140"/>
      <c r="AK775" s="140"/>
      <c r="AL775" s="140"/>
      <c r="AM775" s="140"/>
      <c r="AN775" s="140"/>
      <c r="AO775" s="140"/>
      <c r="AP775" s="140"/>
      <c r="AQ775" s="140"/>
      <c r="AR775" s="140"/>
      <c r="AS775" s="140"/>
      <c r="AT775" s="140"/>
      <c r="AU775" s="140"/>
      <c r="AV775" s="140"/>
      <c r="AW775" s="140"/>
      <c r="AX775" s="140"/>
      <c r="AY775" s="140"/>
      <c r="AZ775" s="140"/>
      <c r="BA775" s="140"/>
      <c r="BB775" s="140"/>
      <c r="BC775" s="140"/>
      <c r="BD775" s="140"/>
      <c r="BE775" s="140"/>
    </row>
    <row r="776" s="119" customFormat="1" ht="72" customHeight="1" outlineLevel="2" spans="1:57">
      <c r="A776" s="162">
        <f>1+N(A775)</f>
        <v>3</v>
      </c>
      <c r="B776" s="14" t="s">
        <v>106</v>
      </c>
      <c r="C776" s="15" t="s">
        <v>107</v>
      </c>
      <c r="D776" s="142" t="s">
        <v>70</v>
      </c>
      <c r="E776" s="143">
        <v>7.9</v>
      </c>
      <c r="F776" s="143">
        <f>$F$30</f>
        <v>18</v>
      </c>
      <c r="G776" s="143">
        <f>$G$30</f>
        <v>163.255</v>
      </c>
      <c r="H776" s="143">
        <f>$H$30</f>
        <v>3.8</v>
      </c>
      <c r="I776" s="17">
        <f>(F776+G776+H776)*$I$3</f>
        <v>18.5055</v>
      </c>
      <c r="J776" s="18">
        <f>ROUND(SUM(F776:I776),2)</f>
        <v>203.56</v>
      </c>
      <c r="K776" s="19">
        <f>ROUND(J776*E776,2)</f>
        <v>1608.12</v>
      </c>
      <c r="L776" s="178"/>
      <c r="M776" s="139">
        <v>1</v>
      </c>
      <c r="N776" s="139">
        <v>1461.97</v>
      </c>
      <c r="O776" s="139"/>
      <c r="P776" s="37">
        <f>Q776+Q776*R776+S776+T776+U776</f>
        <v>185.055</v>
      </c>
      <c r="Q776" s="99">
        <f>$Q$30</f>
        <v>158.5</v>
      </c>
      <c r="R776" s="163">
        <f>$R$30</f>
        <v>0.03</v>
      </c>
      <c r="S776" s="99">
        <f>$S$30</f>
        <v>18</v>
      </c>
      <c r="T776" s="99">
        <f>$T$30</f>
        <v>3.5</v>
      </c>
      <c r="U776" s="99">
        <f>$U$30</f>
        <v>0.3</v>
      </c>
      <c r="V776" s="37">
        <f>P776*E776</f>
        <v>1461.9345</v>
      </c>
      <c r="W776" s="139"/>
      <c r="X776" s="139"/>
      <c r="Y776" s="139"/>
      <c r="Z776" s="139"/>
      <c r="AA776" s="139"/>
      <c r="AB776" s="139"/>
      <c r="AC776" s="139"/>
      <c r="AD776" s="139"/>
      <c r="AE776" s="139"/>
      <c r="AF776" s="140"/>
      <c r="AG776" s="140"/>
      <c r="AH776" s="140"/>
      <c r="AI776" s="140"/>
      <c r="AJ776" s="140"/>
      <c r="AK776" s="140"/>
      <c r="AL776" s="140"/>
      <c r="AM776" s="140"/>
      <c r="AN776" s="140"/>
      <c r="AO776" s="140"/>
      <c r="AP776" s="140"/>
      <c r="AQ776" s="140"/>
      <c r="AR776" s="140"/>
      <c r="AS776" s="140"/>
      <c r="AT776" s="140"/>
      <c r="AU776" s="140"/>
      <c r="AV776" s="140"/>
      <c r="AW776" s="140"/>
      <c r="AX776" s="140"/>
      <c r="AY776" s="140"/>
      <c r="AZ776" s="140"/>
      <c r="BA776" s="140"/>
      <c r="BB776" s="140"/>
      <c r="BC776" s="140"/>
      <c r="BD776" s="140"/>
      <c r="BE776" s="140"/>
    </row>
    <row r="777" s="119" customFormat="1" ht="72" customHeight="1" outlineLevel="2" spans="1:57">
      <c r="A777" s="162">
        <f>1+N(A776)</f>
        <v>4</v>
      </c>
      <c r="B777" s="14" t="s">
        <v>108</v>
      </c>
      <c r="C777" s="15" t="s">
        <v>109</v>
      </c>
      <c r="D777" s="142" t="s">
        <v>70</v>
      </c>
      <c r="E777" s="143">
        <f>1.2*2*1</f>
        <v>2.4</v>
      </c>
      <c r="F777" s="143">
        <f>$F$31</f>
        <v>30</v>
      </c>
      <c r="G777" s="143">
        <f>$G$31</f>
        <v>65.6625</v>
      </c>
      <c r="H777" s="143">
        <f>$H$31</f>
        <v>2.7</v>
      </c>
      <c r="I777" s="17">
        <f>(F777+G777+H777)*$I$3</f>
        <v>9.83625</v>
      </c>
      <c r="J777" s="18">
        <f>ROUND(SUM(F777:I777),2)</f>
        <v>108.2</v>
      </c>
      <c r="K777" s="19">
        <f>ROUND(J777*E777,2)</f>
        <v>259.68</v>
      </c>
      <c r="L777" s="178"/>
      <c r="M777" s="139">
        <v>1</v>
      </c>
      <c r="N777" s="139">
        <v>236.06</v>
      </c>
      <c r="O777" s="139"/>
      <c r="P777" s="37">
        <f>Q777+Q777*R777+S777+T777+U777</f>
        <v>98.3625</v>
      </c>
      <c r="Q777" s="99">
        <f>$Q$31</f>
        <v>63.75</v>
      </c>
      <c r="R777" s="163">
        <f>$R$31</f>
        <v>0.03</v>
      </c>
      <c r="S777" s="99">
        <f>$S$31</f>
        <v>30</v>
      </c>
      <c r="T777" s="99">
        <f>$T$31</f>
        <v>2.5</v>
      </c>
      <c r="U777" s="99">
        <f>$U$31</f>
        <v>0.2</v>
      </c>
      <c r="V777" s="37">
        <f>P777*E777</f>
        <v>236.07</v>
      </c>
      <c r="W777" s="139"/>
      <c r="X777" s="139"/>
      <c r="Y777" s="139"/>
      <c r="Z777" s="139"/>
      <c r="AA777" s="139"/>
      <c r="AB777" s="139"/>
      <c r="AC777" s="139"/>
      <c r="AD777" s="139"/>
      <c r="AE777" s="139"/>
      <c r="AF777" s="140"/>
      <c r="AG777" s="140"/>
      <c r="AH777" s="140"/>
      <c r="AI777" s="140"/>
      <c r="AJ777" s="140"/>
      <c r="AK777" s="140"/>
      <c r="AL777" s="140"/>
      <c r="AM777" s="140"/>
      <c r="AN777" s="140"/>
      <c r="AO777" s="140"/>
      <c r="AP777" s="140"/>
      <c r="AQ777" s="140"/>
      <c r="AR777" s="140"/>
      <c r="AS777" s="140"/>
      <c r="AT777" s="140"/>
      <c r="AU777" s="140"/>
      <c r="AV777" s="140"/>
      <c r="AW777" s="140"/>
      <c r="AX777" s="140"/>
      <c r="AY777" s="140"/>
      <c r="AZ777" s="140"/>
      <c r="BA777" s="140"/>
      <c r="BB777" s="140"/>
      <c r="BC777" s="140"/>
      <c r="BD777" s="140"/>
      <c r="BE777" s="140"/>
    </row>
    <row r="778" s="119" customFormat="1" ht="72" customHeight="1" outlineLevel="2" spans="1:57">
      <c r="A778" s="162">
        <f>1+N(A777)</f>
        <v>5</v>
      </c>
      <c r="B778" s="14" t="s">
        <v>110</v>
      </c>
      <c r="C778" s="15" t="s">
        <v>111</v>
      </c>
      <c r="D778" s="142" t="s">
        <v>63</v>
      </c>
      <c r="E778" s="143">
        <f>10+7.9*0.3</f>
        <v>12.37</v>
      </c>
      <c r="F778" s="143">
        <f>$F$32</f>
        <v>45</v>
      </c>
      <c r="G778" s="143">
        <f>$G$32</f>
        <v>85.5</v>
      </c>
      <c r="H778" s="143">
        <f>$H$32</f>
        <v>7.3</v>
      </c>
      <c r="I778" s="17">
        <f>(F778+G778+H778)*$I$3</f>
        <v>13.78</v>
      </c>
      <c r="J778" s="18">
        <f>ROUND(SUM(F778:I778),2)</f>
        <v>151.58</v>
      </c>
      <c r="K778" s="19">
        <f>ROUND(J778*E778,2)</f>
        <v>1875.04</v>
      </c>
      <c r="L778" s="178"/>
      <c r="M778" s="139">
        <v>1</v>
      </c>
      <c r="N778" s="139">
        <v>1704.59</v>
      </c>
      <c r="O778" s="139"/>
      <c r="P778" s="37">
        <f>Q778+Q778*R778+S778+T778+U778</f>
        <v>137.8</v>
      </c>
      <c r="Q778" s="99">
        <f>$Q$32</f>
        <v>85.5</v>
      </c>
      <c r="R778" s="163">
        <f>$R$32</f>
        <v>0</v>
      </c>
      <c r="S778" s="99">
        <f>$S$32</f>
        <v>45</v>
      </c>
      <c r="T778" s="99">
        <f>$T$32</f>
        <v>6.5</v>
      </c>
      <c r="U778" s="99">
        <f>$U$32</f>
        <v>0.8</v>
      </c>
      <c r="V778" s="37">
        <f>P778*E778</f>
        <v>1704.586</v>
      </c>
      <c r="W778" s="139"/>
      <c r="X778" s="139"/>
      <c r="Y778" s="139"/>
      <c r="Z778" s="139"/>
      <c r="AA778" s="139"/>
      <c r="AB778" s="139"/>
      <c r="AC778" s="139"/>
      <c r="AD778" s="139"/>
      <c r="AE778" s="139"/>
      <c r="AF778" s="140"/>
      <c r="AG778" s="140"/>
      <c r="AH778" s="140"/>
      <c r="AI778" s="140"/>
      <c r="AJ778" s="140"/>
      <c r="AK778" s="140"/>
      <c r="AL778" s="140"/>
      <c r="AM778" s="140"/>
      <c r="AN778" s="140"/>
      <c r="AO778" s="140"/>
      <c r="AP778" s="140"/>
      <c r="AQ778" s="140"/>
      <c r="AR778" s="140"/>
      <c r="AS778" s="140"/>
      <c r="AT778" s="140"/>
      <c r="AU778" s="140"/>
      <c r="AV778" s="140"/>
      <c r="AW778" s="140"/>
      <c r="AX778" s="140"/>
      <c r="AY778" s="140"/>
      <c r="AZ778" s="140"/>
      <c r="BA778" s="140"/>
      <c r="BB778" s="140"/>
      <c r="BC778" s="140"/>
      <c r="BD778" s="140"/>
      <c r="BE778" s="140"/>
    </row>
    <row r="779" s="119" customFormat="1" ht="24" customHeight="1" outlineLevel="1" spans="1:57">
      <c r="A779" s="141"/>
      <c r="B779" s="14" t="s">
        <v>112</v>
      </c>
      <c r="C779" s="15"/>
      <c r="D779" s="142"/>
      <c r="E779" s="143"/>
      <c r="F779" s="143"/>
      <c r="G779" s="143"/>
      <c r="H779" s="143"/>
      <c r="I779" s="143"/>
      <c r="J779" s="143"/>
      <c r="K779" s="144"/>
      <c r="L779" s="178"/>
      <c r="M779" s="139"/>
      <c r="N779" s="139"/>
      <c r="O779" s="139"/>
      <c r="P779" s="137"/>
      <c r="Q779" s="137"/>
      <c r="R779" s="138"/>
      <c r="S779" s="137"/>
      <c r="T779" s="137"/>
      <c r="U779" s="137"/>
      <c r="V779" s="137"/>
      <c r="W779" s="139"/>
      <c r="X779" s="139"/>
      <c r="Y779" s="139"/>
      <c r="Z779" s="139"/>
      <c r="AA779" s="139"/>
      <c r="AB779" s="139"/>
      <c r="AC779" s="139"/>
      <c r="AD779" s="139"/>
      <c r="AE779" s="139"/>
      <c r="AF779" s="140"/>
      <c r="AG779" s="140"/>
      <c r="AH779" s="140"/>
      <c r="AI779" s="140"/>
      <c r="AJ779" s="140"/>
      <c r="AK779" s="140"/>
      <c r="AL779" s="140"/>
      <c r="AM779" s="140"/>
      <c r="AN779" s="140"/>
      <c r="AO779" s="140"/>
      <c r="AP779" s="140"/>
      <c r="AQ779" s="140"/>
      <c r="AR779" s="140"/>
      <c r="AS779" s="140"/>
      <c r="AT779" s="140"/>
      <c r="AU779" s="140"/>
      <c r="AV779" s="140"/>
      <c r="AW779" s="140"/>
      <c r="AX779" s="140"/>
      <c r="AY779" s="140"/>
      <c r="AZ779" s="140"/>
      <c r="BA779" s="140"/>
      <c r="BB779" s="140"/>
      <c r="BC779" s="140"/>
      <c r="BD779" s="140"/>
      <c r="BE779" s="140"/>
    </row>
    <row r="780" s="119" customFormat="1" ht="60" customHeight="1" outlineLevel="2" spans="1:57">
      <c r="A780" s="145">
        <f>1+N(A779)</f>
        <v>1</v>
      </c>
      <c r="B780" s="146" t="s">
        <v>373</v>
      </c>
      <c r="C780" s="147" t="s">
        <v>330</v>
      </c>
      <c r="D780" s="148" t="s">
        <v>63</v>
      </c>
      <c r="E780" s="149">
        <f>2.77*3.2</f>
        <v>8.864</v>
      </c>
      <c r="F780" s="149">
        <f>S780*$S$1</f>
        <v>145</v>
      </c>
      <c r="G780" s="149">
        <f>Q780*(1+R780)*$Q$1</f>
        <v>2150</v>
      </c>
      <c r="H780" s="149">
        <f>(T780+U780)*$T$1</f>
        <v>28.5</v>
      </c>
      <c r="I780" s="150">
        <f>(F780+G780+H780)*$I$3</f>
        <v>232.35</v>
      </c>
      <c r="J780" s="151">
        <f>ROUND(SUM(F780:I780),2)</f>
        <v>2555.85</v>
      </c>
      <c r="K780" s="152">
        <f>ROUND(J780*E780,2)</f>
        <v>22655.05</v>
      </c>
      <c r="L780" s="178"/>
      <c r="M780" s="139">
        <v>1</v>
      </c>
      <c r="N780" s="139">
        <v>20595.5</v>
      </c>
      <c r="O780" s="139"/>
      <c r="P780" s="37">
        <f>Q780+Q780*R780+S780+T780+U780</f>
        <v>2323.5</v>
      </c>
      <c r="Q780" s="71">
        <v>2150</v>
      </c>
      <c r="R780" s="157">
        <v>0</v>
      </c>
      <c r="S780" s="71">
        <v>145</v>
      </c>
      <c r="T780" s="71">
        <v>27</v>
      </c>
      <c r="U780" s="71">
        <v>1.5</v>
      </c>
      <c r="V780" s="37">
        <f>P780*E780</f>
        <v>20595.504</v>
      </c>
      <c r="W780" s="139"/>
      <c r="X780" s="139"/>
      <c r="Y780" s="139"/>
      <c r="Z780" s="139"/>
      <c r="AA780" s="139"/>
      <c r="AB780" s="139"/>
      <c r="AC780" s="139"/>
      <c r="AD780" s="139"/>
      <c r="AE780" s="139"/>
      <c r="AF780" s="140"/>
      <c r="AG780" s="140"/>
      <c r="AH780" s="140"/>
      <c r="AI780" s="140"/>
      <c r="AJ780" s="140"/>
      <c r="AK780" s="140"/>
      <c r="AL780" s="140"/>
      <c r="AM780" s="140"/>
      <c r="AN780" s="140"/>
      <c r="AO780" s="140"/>
      <c r="AP780" s="140"/>
      <c r="AQ780" s="140"/>
      <c r="AR780" s="140"/>
      <c r="AS780" s="140"/>
      <c r="AT780" s="140"/>
      <c r="AU780" s="140"/>
      <c r="AV780" s="140"/>
      <c r="AW780" s="140"/>
      <c r="AX780" s="140"/>
      <c r="AY780" s="140"/>
      <c r="AZ780" s="140"/>
      <c r="BA780" s="140"/>
      <c r="BB780" s="140"/>
      <c r="BC780" s="140"/>
      <c r="BD780" s="140"/>
      <c r="BE780" s="140"/>
    </row>
    <row r="781" s="119" customFormat="1" ht="24" customHeight="1" outlineLevel="1" spans="1:57">
      <c r="A781" s="132" t="s">
        <v>374</v>
      </c>
      <c r="B781" s="8" t="s">
        <v>331</v>
      </c>
      <c r="C781" s="8"/>
      <c r="D781" s="133"/>
      <c r="E781" s="134"/>
      <c r="F781" s="134"/>
      <c r="G781" s="134"/>
      <c r="H781" s="134"/>
      <c r="I781" s="134"/>
      <c r="J781" s="134"/>
      <c r="K781" s="11"/>
      <c r="L781" s="178"/>
      <c r="M781" s="139"/>
      <c r="N781" s="139"/>
      <c r="O781" s="139" t="str">
        <f>_xlfn.DISPIMG("ID_C8C1FEB9063945808E06625CCF17E950",1)</f>
        <v>=DISPIMG("ID_C8C1FEB9063945808E06625CCF17E950",1)</v>
      </c>
      <c r="P781" s="137"/>
      <c r="Q781" s="137"/>
      <c r="R781" s="138"/>
      <c r="S781" s="137"/>
      <c r="T781" s="137"/>
      <c r="U781" s="137"/>
      <c r="V781" s="137"/>
      <c r="W781" s="139"/>
      <c r="X781" s="139"/>
      <c r="Y781" s="139"/>
      <c r="Z781" s="139"/>
      <c r="AA781" s="139"/>
      <c r="AB781" s="139"/>
      <c r="AC781" s="139"/>
      <c r="AD781" s="139"/>
      <c r="AE781" s="139"/>
      <c r="AF781" s="140"/>
      <c r="AG781" s="140"/>
      <c r="AH781" s="140"/>
      <c r="AI781" s="140"/>
      <c r="AJ781" s="140"/>
      <c r="AK781" s="140"/>
      <c r="AL781" s="140"/>
      <c r="AM781" s="140"/>
      <c r="AN781" s="140"/>
      <c r="AO781" s="140"/>
      <c r="AP781" s="140"/>
      <c r="AQ781" s="140"/>
      <c r="AR781" s="140"/>
      <c r="AS781" s="140"/>
      <c r="AT781" s="140"/>
      <c r="AU781" s="140"/>
      <c r="AV781" s="140"/>
      <c r="AW781" s="140"/>
      <c r="AX781" s="140"/>
      <c r="AY781" s="140"/>
      <c r="AZ781" s="140"/>
      <c r="BA781" s="140"/>
      <c r="BB781" s="140"/>
      <c r="BC781" s="140"/>
      <c r="BD781" s="140"/>
      <c r="BE781" s="140"/>
    </row>
    <row r="782" s="119" customFormat="1" ht="24" customHeight="1" outlineLevel="1" spans="1:57">
      <c r="A782" s="141"/>
      <c r="B782" s="14" t="s">
        <v>60</v>
      </c>
      <c r="C782" s="15"/>
      <c r="D782" s="142"/>
      <c r="E782" s="143"/>
      <c r="F782" s="143"/>
      <c r="G782" s="143"/>
      <c r="H782" s="143"/>
      <c r="I782" s="143"/>
      <c r="J782" s="143"/>
      <c r="K782" s="144"/>
      <c r="L782" s="178"/>
      <c r="M782" s="139"/>
      <c r="N782" s="139"/>
      <c r="O782" s="139"/>
      <c r="P782" s="137"/>
      <c r="Q782" s="137"/>
      <c r="R782" s="138"/>
      <c r="S782" s="137"/>
      <c r="T782" s="137"/>
      <c r="U782" s="137"/>
      <c r="V782" s="137"/>
      <c r="W782" s="139"/>
      <c r="X782" s="139"/>
      <c r="Y782" s="139"/>
      <c r="Z782" s="139"/>
      <c r="AA782" s="139"/>
      <c r="AB782" s="139"/>
      <c r="AC782" s="139"/>
      <c r="AD782" s="139"/>
      <c r="AE782" s="139"/>
      <c r="AF782" s="140"/>
      <c r="AG782" s="140"/>
      <c r="AH782" s="140"/>
      <c r="AI782" s="140"/>
      <c r="AJ782" s="140"/>
      <c r="AK782" s="140"/>
      <c r="AL782" s="140"/>
      <c r="AM782" s="140"/>
      <c r="AN782" s="140"/>
      <c r="AO782" s="140"/>
      <c r="AP782" s="140"/>
      <c r="AQ782" s="140"/>
      <c r="AR782" s="140"/>
      <c r="AS782" s="140"/>
      <c r="AT782" s="140"/>
      <c r="AU782" s="140"/>
      <c r="AV782" s="140"/>
      <c r="AW782" s="140"/>
      <c r="AX782" s="140"/>
      <c r="AY782" s="140"/>
      <c r="AZ782" s="140"/>
      <c r="BA782" s="140"/>
      <c r="BB782" s="140"/>
      <c r="BC782" s="140"/>
      <c r="BD782" s="140"/>
      <c r="BE782" s="140"/>
    </row>
    <row r="783" s="119" customFormat="1" ht="96" customHeight="1" outlineLevel="2" spans="1:57">
      <c r="A783" s="162">
        <f t="shared" ref="A783:A788" si="225">1+N(A782)</f>
        <v>1</v>
      </c>
      <c r="B783" s="14" t="s">
        <v>220</v>
      </c>
      <c r="C783" s="15" t="s">
        <v>221</v>
      </c>
      <c r="D783" s="142" t="s">
        <v>63</v>
      </c>
      <c r="E783" s="143">
        <f>8.95-1.18</f>
        <v>7.77</v>
      </c>
      <c r="F783" s="143">
        <f>$F$339</f>
        <v>130</v>
      </c>
      <c r="G783" s="143">
        <f>$G$339</f>
        <v>628.3</v>
      </c>
      <c r="H783" s="17">
        <f>$H$339</f>
        <v>47.7</v>
      </c>
      <c r="I783" s="17">
        <f t="shared" ref="I783:I788" si="226">(F783+G783+H783)*$I$3</f>
        <v>80.6</v>
      </c>
      <c r="J783" s="18">
        <f t="shared" ref="J783:J788" si="227">ROUND(SUM(F783:I783),2)</f>
        <v>886.6</v>
      </c>
      <c r="K783" s="19">
        <f t="shared" ref="K783:K788" si="228">ROUND(J783*E783,2)</f>
        <v>6888.88</v>
      </c>
      <c r="L783" s="178"/>
      <c r="M783" s="139">
        <v>1</v>
      </c>
      <c r="N783" s="139">
        <v>6262.62</v>
      </c>
      <c r="O783" s="139"/>
      <c r="P783" s="37">
        <f t="shared" ref="P783:P788" si="229">Q783+Q783*R783+S783+T783+U783</f>
        <v>806</v>
      </c>
      <c r="Q783" s="99">
        <f>$Q$339</f>
        <v>610</v>
      </c>
      <c r="R783" s="163">
        <f>$R$339</f>
        <v>0.03</v>
      </c>
      <c r="S783" s="99">
        <f>$S$339</f>
        <v>130</v>
      </c>
      <c r="T783" s="99">
        <f>$T$339</f>
        <v>46.2</v>
      </c>
      <c r="U783" s="99">
        <f>$U$339</f>
        <v>1.5</v>
      </c>
      <c r="V783" s="37">
        <f t="shared" ref="V783:V788" si="230">P783*E783</f>
        <v>6262.62</v>
      </c>
      <c r="W783" s="139"/>
      <c r="X783" s="139"/>
      <c r="Y783" s="139"/>
      <c r="Z783" s="139"/>
      <c r="AA783" s="139"/>
      <c r="AB783" s="139"/>
      <c r="AC783" s="139"/>
      <c r="AD783" s="139"/>
      <c r="AE783" s="139"/>
      <c r="AF783" s="140"/>
      <c r="AG783" s="140"/>
      <c r="AH783" s="140"/>
      <c r="AI783" s="140"/>
      <c r="AJ783" s="140"/>
      <c r="AK783" s="140"/>
      <c r="AL783" s="140"/>
      <c r="AM783" s="140"/>
      <c r="AN783" s="140"/>
      <c r="AO783" s="140"/>
      <c r="AP783" s="140"/>
      <c r="AQ783" s="140"/>
      <c r="AR783" s="140"/>
      <c r="AS783" s="140"/>
      <c r="AT783" s="140"/>
      <c r="AU783" s="140"/>
      <c r="AV783" s="140"/>
      <c r="AW783" s="140"/>
      <c r="AX783" s="140"/>
      <c r="AY783" s="140"/>
      <c r="AZ783" s="140"/>
      <c r="BA783" s="140"/>
      <c r="BB783" s="140"/>
      <c r="BC783" s="140"/>
      <c r="BD783" s="140"/>
      <c r="BE783" s="140"/>
    </row>
    <row r="784" s="119" customFormat="1" ht="108" customHeight="1" outlineLevel="2" spans="1:57">
      <c r="A784" s="145">
        <f t="shared" si="225"/>
        <v>2</v>
      </c>
      <c r="B784" s="146" t="s">
        <v>375</v>
      </c>
      <c r="C784" s="147" t="s">
        <v>376</v>
      </c>
      <c r="D784" s="148" t="s">
        <v>63</v>
      </c>
      <c r="E784" s="149">
        <f>11.75*0.1</f>
        <v>1.175</v>
      </c>
      <c r="F784" s="149">
        <f>S784*$S$1</f>
        <v>140</v>
      </c>
      <c r="G784" s="149">
        <f>Q784*(1+R784)*$Q$1</f>
        <v>854.9</v>
      </c>
      <c r="H784" s="149">
        <f>(T784+U784)*$T$1</f>
        <v>47.7</v>
      </c>
      <c r="I784" s="150">
        <f t="shared" si="226"/>
        <v>104.26</v>
      </c>
      <c r="J784" s="151">
        <f t="shared" si="227"/>
        <v>1146.86</v>
      </c>
      <c r="K784" s="152">
        <f t="shared" si="228"/>
        <v>1347.56</v>
      </c>
      <c r="L784" s="178"/>
      <c r="M784" s="139">
        <v>1</v>
      </c>
      <c r="N784" s="139">
        <v>1225.06</v>
      </c>
      <c r="O784" s="139"/>
      <c r="P784" s="37">
        <f t="shared" si="229"/>
        <v>1042.6</v>
      </c>
      <c r="Q784" s="71">
        <v>830</v>
      </c>
      <c r="R784" s="157">
        <v>0.03</v>
      </c>
      <c r="S784" s="71">
        <v>140</v>
      </c>
      <c r="T784" s="71">
        <v>46.2</v>
      </c>
      <c r="U784" s="71">
        <v>1.5</v>
      </c>
      <c r="V784" s="37">
        <f t="shared" si="230"/>
        <v>1225.055</v>
      </c>
      <c r="W784" s="139"/>
      <c r="X784" s="139"/>
      <c r="Y784" s="139"/>
      <c r="Z784" s="139"/>
      <c r="AA784" s="139"/>
      <c r="AB784" s="139"/>
      <c r="AC784" s="139"/>
      <c r="AD784" s="139"/>
      <c r="AE784" s="139"/>
      <c r="AF784" s="140"/>
      <c r="AG784" s="140"/>
      <c r="AH784" s="140"/>
      <c r="AI784" s="140"/>
      <c r="AJ784" s="140"/>
      <c r="AK784" s="140"/>
      <c r="AL784" s="140"/>
      <c r="AM784" s="140"/>
      <c r="AN784" s="140"/>
      <c r="AO784" s="140"/>
      <c r="AP784" s="140"/>
      <c r="AQ784" s="140"/>
      <c r="AR784" s="140"/>
      <c r="AS784" s="140"/>
      <c r="AT784" s="140"/>
      <c r="AU784" s="140"/>
      <c r="AV784" s="140"/>
      <c r="AW784" s="140"/>
      <c r="AX784" s="140"/>
      <c r="AY784" s="140"/>
      <c r="AZ784" s="140"/>
      <c r="BA784" s="140"/>
      <c r="BB784" s="140"/>
      <c r="BC784" s="140"/>
      <c r="BD784" s="140"/>
      <c r="BE784" s="140"/>
    </row>
    <row r="785" s="119" customFormat="1" ht="72" customHeight="1" outlineLevel="2" spans="1:57">
      <c r="A785" s="162">
        <f t="shared" si="225"/>
        <v>3</v>
      </c>
      <c r="B785" s="14" t="s">
        <v>325</v>
      </c>
      <c r="C785" s="15" t="s">
        <v>326</v>
      </c>
      <c r="D785" s="142" t="s">
        <v>63</v>
      </c>
      <c r="E785" s="143">
        <v>8.5</v>
      </c>
      <c r="F785" s="143">
        <f>$F$574</f>
        <v>36</v>
      </c>
      <c r="G785" s="143">
        <f>$G$574</f>
        <v>235.75</v>
      </c>
      <c r="H785" s="143">
        <f>$H$574</f>
        <v>17.5</v>
      </c>
      <c r="I785" s="17">
        <f t="shared" si="226"/>
        <v>28.925</v>
      </c>
      <c r="J785" s="18">
        <f t="shared" si="227"/>
        <v>318.18</v>
      </c>
      <c r="K785" s="19">
        <f t="shared" si="228"/>
        <v>2704.53</v>
      </c>
      <c r="L785" s="178"/>
      <c r="M785" s="139">
        <v>1</v>
      </c>
      <c r="N785" s="139">
        <v>2458.63</v>
      </c>
      <c r="O785" s="139"/>
      <c r="P785" s="37">
        <f t="shared" si="229"/>
        <v>289.25</v>
      </c>
      <c r="Q785" s="99">
        <f>$Q$574</f>
        <v>230</v>
      </c>
      <c r="R785" s="163">
        <f>$R$574</f>
        <v>0.025</v>
      </c>
      <c r="S785" s="99">
        <f>$S$574</f>
        <v>36</v>
      </c>
      <c r="T785" s="99">
        <f>$T$574</f>
        <v>17.5</v>
      </c>
      <c r="U785" s="99">
        <f>$U$574</f>
        <v>0</v>
      </c>
      <c r="V785" s="37">
        <f t="shared" si="230"/>
        <v>2458.625</v>
      </c>
      <c r="W785" s="139"/>
      <c r="X785" s="139"/>
      <c r="Y785" s="139"/>
      <c r="Z785" s="139"/>
      <c r="AA785" s="139"/>
      <c r="AB785" s="139"/>
      <c r="AC785" s="139"/>
      <c r="AD785" s="139"/>
      <c r="AE785" s="139"/>
      <c r="AF785" s="140"/>
      <c r="AG785" s="140"/>
      <c r="AH785" s="140"/>
      <c r="AI785" s="140"/>
      <c r="AJ785" s="140"/>
      <c r="AK785" s="140"/>
      <c r="AL785" s="140"/>
      <c r="AM785" s="140"/>
      <c r="AN785" s="140"/>
      <c r="AO785" s="140"/>
      <c r="AP785" s="140"/>
      <c r="AQ785" s="140"/>
      <c r="AR785" s="140"/>
      <c r="AS785" s="140"/>
      <c r="AT785" s="140"/>
      <c r="AU785" s="140"/>
      <c r="AV785" s="140"/>
      <c r="AW785" s="140"/>
      <c r="AX785" s="140"/>
      <c r="AY785" s="140"/>
      <c r="AZ785" s="140"/>
      <c r="BA785" s="140"/>
      <c r="BB785" s="140"/>
      <c r="BC785" s="140"/>
      <c r="BD785" s="140"/>
      <c r="BE785" s="140"/>
    </row>
    <row r="786" s="119" customFormat="1" ht="60" customHeight="1" outlineLevel="2" spans="1:57">
      <c r="A786" s="162">
        <f t="shared" si="225"/>
        <v>4</v>
      </c>
      <c r="B786" s="14" t="s">
        <v>168</v>
      </c>
      <c r="C786" s="15" t="s">
        <v>306</v>
      </c>
      <c r="D786" s="142" t="s">
        <v>63</v>
      </c>
      <c r="E786" s="143">
        <v>8.5</v>
      </c>
      <c r="F786" s="143">
        <f>$F$539</f>
        <v>28</v>
      </c>
      <c r="G786" s="143">
        <f>$G$539</f>
        <v>0</v>
      </c>
      <c r="H786" s="143">
        <f>$H$539</f>
        <v>31.8</v>
      </c>
      <c r="I786" s="17">
        <f t="shared" si="226"/>
        <v>5.98</v>
      </c>
      <c r="J786" s="18">
        <f t="shared" si="227"/>
        <v>65.78</v>
      </c>
      <c r="K786" s="19">
        <f t="shared" si="228"/>
        <v>559.13</v>
      </c>
      <c r="L786" s="178"/>
      <c r="M786" s="139">
        <v>1</v>
      </c>
      <c r="N786" s="139">
        <v>508.3</v>
      </c>
      <c r="O786" s="139"/>
      <c r="P786" s="37">
        <f t="shared" si="229"/>
        <v>59.8</v>
      </c>
      <c r="Q786" s="99">
        <f>$Q$539</f>
        <v>0</v>
      </c>
      <c r="R786" s="163">
        <f>$R$539</f>
        <v>0</v>
      </c>
      <c r="S786" s="99">
        <f>$S$539</f>
        <v>28</v>
      </c>
      <c r="T786" s="99">
        <f>$T$539</f>
        <v>31.5</v>
      </c>
      <c r="U786" s="99">
        <f>$U$539</f>
        <v>0.3</v>
      </c>
      <c r="V786" s="37">
        <f t="shared" si="230"/>
        <v>508.3</v>
      </c>
      <c r="W786" s="139"/>
      <c r="X786" s="139"/>
      <c r="Y786" s="139"/>
      <c r="Z786" s="139"/>
      <c r="AA786" s="139"/>
      <c r="AB786" s="139"/>
      <c r="AC786" s="139"/>
      <c r="AD786" s="139"/>
      <c r="AE786" s="139"/>
      <c r="AF786" s="140"/>
      <c r="AG786" s="140"/>
      <c r="AH786" s="140"/>
      <c r="AI786" s="140"/>
      <c r="AJ786" s="140"/>
      <c r="AK786" s="140"/>
      <c r="AL786" s="140"/>
      <c r="AM786" s="140"/>
      <c r="AN786" s="140"/>
      <c r="AO786" s="140"/>
      <c r="AP786" s="140"/>
      <c r="AQ786" s="140"/>
      <c r="AR786" s="140"/>
      <c r="AS786" s="140"/>
      <c r="AT786" s="140"/>
      <c r="AU786" s="140"/>
      <c r="AV786" s="140"/>
      <c r="AW786" s="140"/>
      <c r="AX786" s="140"/>
      <c r="AY786" s="140"/>
      <c r="AZ786" s="140"/>
      <c r="BA786" s="140"/>
      <c r="BB786" s="140"/>
      <c r="BC786" s="140"/>
      <c r="BD786" s="140"/>
      <c r="BE786" s="140"/>
    </row>
    <row r="787" s="119" customFormat="1" ht="48" customHeight="1" outlineLevel="2" spans="1:57">
      <c r="A787" s="162">
        <f t="shared" si="225"/>
        <v>5</v>
      </c>
      <c r="B787" s="14" t="s">
        <v>71</v>
      </c>
      <c r="C787" s="15" t="s">
        <v>72</v>
      </c>
      <c r="D787" s="142" t="s">
        <v>63</v>
      </c>
      <c r="E787" s="143">
        <v>8.95</v>
      </c>
      <c r="F787" s="143">
        <f>$F$11</f>
        <v>40</v>
      </c>
      <c r="G787" s="143">
        <f>$G$11</f>
        <v>15</v>
      </c>
      <c r="H787" s="143">
        <f>$H$11</f>
        <v>0.8</v>
      </c>
      <c r="I787" s="17">
        <f t="shared" si="226"/>
        <v>5.58</v>
      </c>
      <c r="J787" s="18">
        <f t="shared" si="227"/>
        <v>61.38</v>
      </c>
      <c r="K787" s="19">
        <f t="shared" si="228"/>
        <v>549.35</v>
      </c>
      <c r="L787" s="178"/>
      <c r="M787" s="139">
        <v>1</v>
      </c>
      <c r="N787" s="139">
        <v>499.41</v>
      </c>
      <c r="O787" s="139"/>
      <c r="P787" s="37">
        <f t="shared" si="229"/>
        <v>55.8</v>
      </c>
      <c r="Q787" s="99">
        <f>$Q$11</f>
        <v>15</v>
      </c>
      <c r="R787" s="163">
        <f>$R$11</f>
        <v>0</v>
      </c>
      <c r="S787" s="99">
        <f>$S$11</f>
        <v>40</v>
      </c>
      <c r="T787" s="99">
        <f>$T$11</f>
        <v>0.5</v>
      </c>
      <c r="U787" s="99">
        <f>$U$11</f>
        <v>0.3</v>
      </c>
      <c r="V787" s="37">
        <f t="shared" si="230"/>
        <v>499.41</v>
      </c>
      <c r="W787" s="139"/>
      <c r="X787" s="139"/>
      <c r="Y787" s="139"/>
      <c r="Z787" s="139"/>
      <c r="AA787" s="139"/>
      <c r="AB787" s="139"/>
      <c r="AC787" s="139"/>
      <c r="AD787" s="139"/>
      <c r="AE787" s="139"/>
      <c r="AF787" s="140"/>
      <c r="AG787" s="140"/>
      <c r="AH787" s="140"/>
      <c r="AI787" s="140"/>
      <c r="AJ787" s="140"/>
      <c r="AK787" s="140"/>
      <c r="AL787" s="140"/>
      <c r="AM787" s="140"/>
      <c r="AN787" s="140"/>
      <c r="AO787" s="140"/>
      <c r="AP787" s="140"/>
      <c r="AQ787" s="140"/>
      <c r="AR787" s="140"/>
      <c r="AS787" s="140"/>
      <c r="AT787" s="140"/>
      <c r="AU787" s="140"/>
      <c r="AV787" s="140"/>
      <c r="AW787" s="140"/>
      <c r="AX787" s="140"/>
      <c r="AY787" s="140"/>
      <c r="AZ787" s="140"/>
      <c r="BA787" s="140"/>
      <c r="BB787" s="140"/>
      <c r="BC787" s="140"/>
      <c r="BD787" s="140"/>
      <c r="BE787" s="140"/>
    </row>
    <row r="788" s="119" customFormat="1" ht="36" customHeight="1" outlineLevel="2" spans="1:57">
      <c r="A788" s="162">
        <f t="shared" si="225"/>
        <v>6</v>
      </c>
      <c r="B788" s="14" t="s">
        <v>68</v>
      </c>
      <c r="C788" s="15" t="s">
        <v>69</v>
      </c>
      <c r="D788" s="142" t="s">
        <v>70</v>
      </c>
      <c r="E788" s="143">
        <v>13.73</v>
      </c>
      <c r="F788" s="143">
        <f>$F$10</f>
        <v>12</v>
      </c>
      <c r="G788" s="143">
        <f>$G$10</f>
        <v>19.57</v>
      </c>
      <c r="H788" s="143">
        <f>$H$10</f>
        <v>0.5</v>
      </c>
      <c r="I788" s="17">
        <f t="shared" si="226"/>
        <v>3.207</v>
      </c>
      <c r="J788" s="18">
        <f t="shared" si="227"/>
        <v>35.28</v>
      </c>
      <c r="K788" s="19">
        <f t="shared" si="228"/>
        <v>484.39</v>
      </c>
      <c r="L788" s="178"/>
      <c r="M788" s="139">
        <v>1</v>
      </c>
      <c r="N788" s="139">
        <v>440.32</v>
      </c>
      <c r="O788" s="139"/>
      <c r="P788" s="37">
        <f t="shared" si="229"/>
        <v>32.07</v>
      </c>
      <c r="Q788" s="99">
        <f>$Q$10</f>
        <v>19</v>
      </c>
      <c r="R788" s="163">
        <f>$R$10</f>
        <v>0.03</v>
      </c>
      <c r="S788" s="99">
        <f>$S$10</f>
        <v>12</v>
      </c>
      <c r="T788" s="99">
        <f>$T$10</f>
        <v>0.3</v>
      </c>
      <c r="U788" s="99">
        <f>$U$10</f>
        <v>0.2</v>
      </c>
      <c r="V788" s="37">
        <f t="shared" si="230"/>
        <v>440.3211</v>
      </c>
      <c r="W788" s="139"/>
      <c r="X788" s="139"/>
      <c r="Y788" s="139"/>
      <c r="Z788" s="139"/>
      <c r="AA788" s="139"/>
      <c r="AB788" s="139"/>
      <c r="AC788" s="139"/>
      <c r="AD788" s="139"/>
      <c r="AE788" s="139"/>
      <c r="AF788" s="140"/>
      <c r="AG788" s="140"/>
      <c r="AH788" s="140"/>
      <c r="AI788" s="140"/>
      <c r="AJ788" s="140"/>
      <c r="AK788" s="140"/>
      <c r="AL788" s="140"/>
      <c r="AM788" s="140"/>
      <c r="AN788" s="140"/>
      <c r="AO788" s="140"/>
      <c r="AP788" s="140"/>
      <c r="AQ788" s="140"/>
      <c r="AR788" s="140"/>
      <c r="AS788" s="140"/>
      <c r="AT788" s="140"/>
      <c r="AU788" s="140"/>
      <c r="AV788" s="140"/>
      <c r="AW788" s="140"/>
      <c r="AX788" s="140"/>
      <c r="AY788" s="140"/>
      <c r="AZ788" s="140"/>
      <c r="BA788" s="140"/>
      <c r="BB788" s="140"/>
      <c r="BC788" s="140"/>
      <c r="BD788" s="140"/>
      <c r="BE788" s="140"/>
    </row>
    <row r="789" s="119" customFormat="1" ht="24" customHeight="1" outlineLevel="1" spans="1:57">
      <c r="A789" s="141"/>
      <c r="B789" s="14" t="s">
        <v>73</v>
      </c>
      <c r="C789" s="15"/>
      <c r="D789" s="142"/>
      <c r="E789" s="143"/>
      <c r="F789" s="143"/>
      <c r="G789" s="143"/>
      <c r="H789" s="143"/>
      <c r="I789" s="143"/>
      <c r="J789" s="143"/>
      <c r="K789" s="144"/>
      <c r="L789" s="178"/>
      <c r="M789" s="139"/>
      <c r="N789" s="139"/>
      <c r="O789" s="139"/>
      <c r="P789" s="137"/>
      <c r="Q789" s="137"/>
      <c r="R789" s="138"/>
      <c r="S789" s="137"/>
      <c r="T789" s="137"/>
      <c r="U789" s="137"/>
      <c r="V789" s="137"/>
      <c r="W789" s="139"/>
      <c r="X789" s="139"/>
      <c r="Y789" s="139"/>
      <c r="Z789" s="139"/>
      <c r="AA789" s="139"/>
      <c r="AB789" s="139"/>
      <c r="AC789" s="139"/>
      <c r="AD789" s="139"/>
      <c r="AE789" s="139"/>
      <c r="AF789" s="140"/>
      <c r="AG789" s="140"/>
      <c r="AH789" s="140"/>
      <c r="AI789" s="140"/>
      <c r="AJ789" s="140"/>
      <c r="AK789" s="140"/>
      <c r="AL789" s="140"/>
      <c r="AM789" s="140"/>
      <c r="AN789" s="140"/>
      <c r="AO789" s="140"/>
      <c r="AP789" s="140"/>
      <c r="AQ789" s="140"/>
      <c r="AR789" s="140"/>
      <c r="AS789" s="140"/>
      <c r="AT789" s="140"/>
      <c r="AU789" s="140"/>
      <c r="AV789" s="140"/>
      <c r="AW789" s="140"/>
      <c r="AX789" s="140"/>
      <c r="AY789" s="140"/>
      <c r="AZ789" s="140"/>
      <c r="BA789" s="140"/>
      <c r="BB789" s="140"/>
      <c r="BC789" s="140"/>
      <c r="BD789" s="140"/>
      <c r="BE789" s="140"/>
    </row>
    <row r="790" s="119" customFormat="1" ht="60" customHeight="1" outlineLevel="2" spans="1:57">
      <c r="A790" s="162">
        <f>1+N(A789)</f>
        <v>1</v>
      </c>
      <c r="B790" s="164" t="s">
        <v>76</v>
      </c>
      <c r="C790" s="15" t="s">
        <v>258</v>
      </c>
      <c r="D790" s="142" t="s">
        <v>63</v>
      </c>
      <c r="E790" s="143">
        <v>31.666</v>
      </c>
      <c r="F790" s="143">
        <f>$F$459</f>
        <v>140</v>
      </c>
      <c r="G790" s="143">
        <f>$G$459</f>
        <v>682.5</v>
      </c>
      <c r="H790" s="143">
        <f>$H$459</f>
        <v>113.55</v>
      </c>
      <c r="I790" s="17">
        <f>(F790+G790+H790)*$I$3</f>
        <v>93.605</v>
      </c>
      <c r="J790" s="18">
        <f>ROUND(SUM(F790:I790),2)</f>
        <v>1029.66</v>
      </c>
      <c r="K790" s="19">
        <f>ROUND(J790*E790,2)</f>
        <v>32605.21</v>
      </c>
      <c r="L790" s="178"/>
      <c r="M790" s="139">
        <v>1</v>
      </c>
      <c r="N790" s="139">
        <v>29640.96</v>
      </c>
      <c r="O790" s="139"/>
      <c r="P790" s="37">
        <f>Q790+Q790*R790+S790+T790+U790</f>
        <v>936.05</v>
      </c>
      <c r="Q790" s="99">
        <f>$Q$459</f>
        <v>650</v>
      </c>
      <c r="R790" s="163">
        <f>$R$459</f>
        <v>0.05</v>
      </c>
      <c r="S790" s="99">
        <f>$S$459</f>
        <v>140</v>
      </c>
      <c r="T790" s="99">
        <f>$T$459</f>
        <v>111.75</v>
      </c>
      <c r="U790" s="99">
        <f>$U$459</f>
        <v>1.8</v>
      </c>
      <c r="V790" s="37">
        <f>P790*E790</f>
        <v>29640.9593</v>
      </c>
      <c r="W790" s="139"/>
      <c r="X790" s="139"/>
      <c r="Y790" s="139"/>
      <c r="Z790" s="139"/>
      <c r="AA790" s="139"/>
      <c r="AB790" s="139"/>
      <c r="AC790" s="139"/>
      <c r="AD790" s="139"/>
      <c r="AE790" s="139"/>
      <c r="AF790" s="140"/>
      <c r="AG790" s="140"/>
      <c r="AH790" s="140"/>
      <c r="AI790" s="140"/>
      <c r="AJ790" s="140"/>
      <c r="AK790" s="140"/>
      <c r="AL790" s="140"/>
      <c r="AM790" s="140"/>
      <c r="AN790" s="140"/>
      <c r="AO790" s="140"/>
      <c r="AP790" s="140"/>
      <c r="AQ790" s="140"/>
      <c r="AR790" s="140"/>
      <c r="AS790" s="140"/>
      <c r="AT790" s="140"/>
      <c r="AU790" s="140"/>
      <c r="AV790" s="140"/>
      <c r="AW790" s="140"/>
      <c r="AX790" s="140"/>
      <c r="AY790" s="140"/>
      <c r="AZ790" s="140"/>
      <c r="BA790" s="140"/>
      <c r="BB790" s="140"/>
      <c r="BC790" s="140"/>
      <c r="BD790" s="140"/>
      <c r="BE790" s="140"/>
    </row>
    <row r="791" s="119" customFormat="1" ht="60" customHeight="1" outlineLevel="2" spans="1:57">
      <c r="A791" s="162">
        <f>1+N(A790)</f>
        <v>2</v>
      </c>
      <c r="B791" s="164" t="s">
        <v>131</v>
      </c>
      <c r="C791" s="15" t="s">
        <v>132</v>
      </c>
      <c r="D791" s="142" t="s">
        <v>63</v>
      </c>
      <c r="E791" s="143">
        <f>1.07*3.4*2</f>
        <v>7.276</v>
      </c>
      <c r="F791" s="143">
        <f>$F$70</f>
        <v>110</v>
      </c>
      <c r="G791" s="143">
        <f>$G$70</f>
        <v>454.5</v>
      </c>
      <c r="H791" s="143">
        <f>$H$70</f>
        <v>55.2</v>
      </c>
      <c r="I791" s="17">
        <f>(F791+G791+H791)*$I$3</f>
        <v>61.97</v>
      </c>
      <c r="J791" s="18">
        <f>ROUND(SUM(F791:I791),2)</f>
        <v>681.67</v>
      </c>
      <c r="K791" s="19">
        <f>ROUND(J791*E791,2)</f>
        <v>4959.83</v>
      </c>
      <c r="L791" s="178"/>
      <c r="M791" s="139">
        <v>1</v>
      </c>
      <c r="N791" s="139">
        <v>4508.94</v>
      </c>
      <c r="O791" s="139"/>
      <c r="P791" s="37">
        <f>Q791+Q791*R791+S791+T791+U791</f>
        <v>619.7</v>
      </c>
      <c r="Q791" s="99">
        <f>$Q$70</f>
        <v>450</v>
      </c>
      <c r="R791" s="163">
        <f>$R$70</f>
        <v>0.01</v>
      </c>
      <c r="S791" s="99">
        <f>$S$70</f>
        <v>110</v>
      </c>
      <c r="T791" s="99">
        <f>$T$70</f>
        <v>54</v>
      </c>
      <c r="U791" s="99">
        <f>$U$70</f>
        <v>1.2</v>
      </c>
      <c r="V791" s="37">
        <f>P791*E791</f>
        <v>4508.9372</v>
      </c>
      <c r="W791" s="139"/>
      <c r="X791" s="139"/>
      <c r="Y791" s="139"/>
      <c r="Z791" s="139"/>
      <c r="AA791" s="139"/>
      <c r="AB791" s="139"/>
      <c r="AC791" s="139"/>
      <c r="AD791" s="139"/>
      <c r="AE791" s="139"/>
      <c r="AF791" s="140"/>
      <c r="AG791" s="140"/>
      <c r="AH791" s="140"/>
      <c r="AI791" s="140"/>
      <c r="AJ791" s="140"/>
      <c r="AK791" s="140"/>
      <c r="AL791" s="140"/>
      <c r="AM791" s="140"/>
      <c r="AN791" s="140"/>
      <c r="AO791" s="140"/>
      <c r="AP791" s="140"/>
      <c r="AQ791" s="140"/>
      <c r="AR791" s="140"/>
      <c r="AS791" s="140"/>
      <c r="AT791" s="140"/>
      <c r="AU791" s="140"/>
      <c r="AV791" s="140"/>
      <c r="AW791" s="140"/>
      <c r="AX791" s="140"/>
      <c r="AY791" s="140"/>
      <c r="AZ791" s="140"/>
      <c r="BA791" s="140"/>
      <c r="BB791" s="140"/>
      <c r="BC791" s="140"/>
      <c r="BD791" s="140"/>
      <c r="BE791" s="140"/>
    </row>
    <row r="792" s="119" customFormat="1" ht="60" customHeight="1" outlineLevel="2" spans="1:57">
      <c r="A792" s="162">
        <f>1+N(A791)</f>
        <v>3</v>
      </c>
      <c r="B792" s="14" t="s">
        <v>91</v>
      </c>
      <c r="C792" s="15" t="s">
        <v>92</v>
      </c>
      <c r="D792" s="142" t="s">
        <v>70</v>
      </c>
      <c r="E792" s="143">
        <v>10.82</v>
      </c>
      <c r="F792" s="143">
        <f>$F$22</f>
        <v>12</v>
      </c>
      <c r="G792" s="143">
        <f>$G$22</f>
        <v>25.75</v>
      </c>
      <c r="H792" s="143">
        <f>$H$22</f>
        <v>3.8</v>
      </c>
      <c r="I792" s="17">
        <f>(F792+G792+H792)*$I$3</f>
        <v>4.155</v>
      </c>
      <c r="J792" s="18">
        <f>ROUND(SUM(F792:I792),2)</f>
        <v>45.71</v>
      </c>
      <c r="K792" s="19">
        <f>ROUND(J792*E792,2)</f>
        <v>494.58</v>
      </c>
      <c r="L792" s="178"/>
      <c r="M792" s="139">
        <v>1</v>
      </c>
      <c r="N792" s="139">
        <v>449.57</v>
      </c>
      <c r="O792" s="139"/>
      <c r="P792" s="37">
        <f>Q792+Q792*R792+S792+T792+U792</f>
        <v>41.55</v>
      </c>
      <c r="Q792" s="99">
        <f>$Q$22</f>
        <v>25</v>
      </c>
      <c r="R792" s="163">
        <f>$R$22</f>
        <v>0.03</v>
      </c>
      <c r="S792" s="99">
        <f>$S$22</f>
        <v>12</v>
      </c>
      <c r="T792" s="99">
        <f>$T$22</f>
        <v>3.5</v>
      </c>
      <c r="U792" s="99">
        <f>$U$22</f>
        <v>0.3</v>
      </c>
      <c r="V792" s="37">
        <f>P792*E792</f>
        <v>449.571</v>
      </c>
      <c r="W792" s="139"/>
      <c r="X792" s="139"/>
      <c r="Y792" s="139"/>
      <c r="Z792" s="139"/>
      <c r="AA792" s="139"/>
      <c r="AB792" s="139"/>
      <c r="AC792" s="139"/>
      <c r="AD792" s="139"/>
      <c r="AE792" s="139"/>
      <c r="AF792" s="140"/>
      <c r="AG792" s="140"/>
      <c r="AH792" s="140"/>
      <c r="AI792" s="140"/>
      <c r="AJ792" s="140"/>
      <c r="AK792" s="140"/>
      <c r="AL792" s="140"/>
      <c r="AM792" s="140"/>
      <c r="AN792" s="140"/>
      <c r="AO792" s="140"/>
      <c r="AP792" s="140"/>
      <c r="AQ792" s="140"/>
      <c r="AR792" s="140"/>
      <c r="AS792" s="140"/>
      <c r="AT792" s="140"/>
      <c r="AU792" s="140"/>
      <c r="AV792" s="140"/>
      <c r="AW792" s="140"/>
      <c r="AX792" s="140"/>
      <c r="AY792" s="140"/>
      <c r="AZ792" s="140"/>
      <c r="BA792" s="140"/>
      <c r="BB792" s="140"/>
      <c r="BC792" s="140"/>
      <c r="BD792" s="140"/>
      <c r="BE792" s="140"/>
    </row>
    <row r="793" s="119" customFormat="1" ht="60" customHeight="1" outlineLevel="2" spans="1:57">
      <c r="A793" s="162">
        <f>1+N(A792)</f>
        <v>4</v>
      </c>
      <c r="B793" s="14" t="s">
        <v>350</v>
      </c>
      <c r="C793" s="15" t="s">
        <v>351</v>
      </c>
      <c r="D793" s="142" t="s">
        <v>70</v>
      </c>
      <c r="E793" s="143">
        <v>5.57</v>
      </c>
      <c r="F793" s="143">
        <f>$F$686</f>
        <v>25</v>
      </c>
      <c r="G793" s="143">
        <f>$G$686</f>
        <v>58.195</v>
      </c>
      <c r="H793" s="143">
        <f>$H$686</f>
        <v>3.8</v>
      </c>
      <c r="I793" s="17">
        <f>(F793+G793+H793)*$I$3</f>
        <v>8.6995</v>
      </c>
      <c r="J793" s="18">
        <f>ROUND(SUM(F793:I793),2)</f>
        <v>95.69</v>
      </c>
      <c r="K793" s="19">
        <f>ROUND(J793*E793,2)</f>
        <v>532.99</v>
      </c>
      <c r="L793" s="178"/>
      <c r="M793" s="139">
        <v>1</v>
      </c>
      <c r="N793" s="139">
        <v>484.59</v>
      </c>
      <c r="O793" s="139"/>
      <c r="P793" s="37">
        <f>Q793+Q793*R793+S793+T793+U793</f>
        <v>86.995</v>
      </c>
      <c r="Q793" s="99">
        <f>$Q$686</f>
        <v>56.5</v>
      </c>
      <c r="R793" s="163">
        <f>$R$686</f>
        <v>0.03</v>
      </c>
      <c r="S793" s="99">
        <f>$S$686</f>
        <v>25</v>
      </c>
      <c r="T793" s="99">
        <f>$T$686</f>
        <v>3.5</v>
      </c>
      <c r="U793" s="99">
        <f>$U$686</f>
        <v>0.3</v>
      </c>
      <c r="V793" s="37">
        <f>P793*E793</f>
        <v>484.56215</v>
      </c>
      <c r="W793" s="139"/>
      <c r="X793" s="139"/>
      <c r="Y793" s="139"/>
      <c r="Z793" s="139"/>
      <c r="AA793" s="139"/>
      <c r="AB793" s="139"/>
      <c r="AC793" s="139"/>
      <c r="AD793" s="139"/>
      <c r="AE793" s="139"/>
      <c r="AF793" s="140"/>
      <c r="AG793" s="140"/>
      <c r="AH793" s="140"/>
      <c r="AI793" s="140"/>
      <c r="AJ793" s="140"/>
      <c r="AK793" s="140"/>
      <c r="AL793" s="140"/>
      <c r="AM793" s="140"/>
      <c r="AN793" s="140"/>
      <c r="AO793" s="140"/>
      <c r="AP793" s="140"/>
      <c r="AQ793" s="140"/>
      <c r="AR793" s="140"/>
      <c r="AS793" s="140"/>
      <c r="AT793" s="140"/>
      <c r="AU793" s="140"/>
      <c r="AV793" s="140"/>
      <c r="AW793" s="140"/>
      <c r="AX793" s="140"/>
      <c r="AY793" s="140"/>
      <c r="AZ793" s="140"/>
      <c r="BA793" s="140"/>
      <c r="BB793" s="140"/>
      <c r="BC793" s="140"/>
      <c r="BD793" s="140"/>
      <c r="BE793" s="140"/>
    </row>
    <row r="794" s="119" customFormat="1" ht="60" customHeight="1" outlineLevel="2" spans="1:57">
      <c r="A794" s="162">
        <f>1+N(A793)</f>
        <v>5</v>
      </c>
      <c r="B794" s="14" t="s">
        <v>239</v>
      </c>
      <c r="C794" s="15" t="s">
        <v>240</v>
      </c>
      <c r="D794" s="165" t="s">
        <v>63</v>
      </c>
      <c r="E794" s="143">
        <f>8.1*0.095</f>
        <v>0.7695</v>
      </c>
      <c r="F794" s="143">
        <f>$F$356</f>
        <v>110</v>
      </c>
      <c r="G794" s="143">
        <f>$G$356</f>
        <v>454.5</v>
      </c>
      <c r="H794" s="143">
        <f>$H$356</f>
        <v>55.2</v>
      </c>
      <c r="I794" s="17">
        <f>(F794+G794+H794)*$I$3</f>
        <v>61.97</v>
      </c>
      <c r="J794" s="18">
        <f>ROUND(SUM(F794:I794),2)</f>
        <v>681.67</v>
      </c>
      <c r="K794" s="19">
        <f>ROUND(J794*E794,2)</f>
        <v>524.55</v>
      </c>
      <c r="L794" s="178"/>
      <c r="M794" s="139">
        <v>1</v>
      </c>
      <c r="N794" s="139">
        <v>476.86</v>
      </c>
      <c r="O794" s="139"/>
      <c r="P794" s="37">
        <f>Q794+Q794*R794+S794+T794+U794</f>
        <v>619.7</v>
      </c>
      <c r="Q794" s="99">
        <f>$Q$356</f>
        <v>450</v>
      </c>
      <c r="R794" s="163">
        <f>$R$356</f>
        <v>0.01</v>
      </c>
      <c r="S794" s="99">
        <f>$S$356</f>
        <v>110</v>
      </c>
      <c r="T794" s="99">
        <f>$T$356</f>
        <v>54</v>
      </c>
      <c r="U794" s="99">
        <f>$U$356</f>
        <v>1.2</v>
      </c>
      <c r="V794" s="37">
        <f>P794*E794</f>
        <v>476.85915</v>
      </c>
      <c r="W794" s="139"/>
      <c r="X794" s="139"/>
      <c r="Y794" s="139"/>
      <c r="Z794" s="139"/>
      <c r="AA794" s="139"/>
      <c r="AB794" s="139"/>
      <c r="AC794" s="139"/>
      <c r="AD794" s="139"/>
      <c r="AE794" s="139"/>
      <c r="AF794" s="140"/>
      <c r="AG794" s="140"/>
      <c r="AH794" s="140"/>
      <c r="AI794" s="140"/>
      <c r="AJ794" s="140"/>
      <c r="AK794" s="140"/>
      <c r="AL794" s="140"/>
      <c r="AM794" s="140"/>
      <c r="AN794" s="140"/>
      <c r="AO794" s="140"/>
      <c r="AP794" s="140"/>
      <c r="AQ794" s="140"/>
      <c r="AR794" s="140"/>
      <c r="AS794" s="140"/>
      <c r="AT794" s="140"/>
      <c r="AU794" s="140"/>
      <c r="AV794" s="140"/>
      <c r="AW794" s="140"/>
      <c r="AX794" s="140"/>
      <c r="AY794" s="140"/>
      <c r="AZ794" s="140"/>
      <c r="BA794" s="140"/>
      <c r="BB794" s="140"/>
      <c r="BC794" s="140"/>
      <c r="BD794" s="140"/>
      <c r="BE794" s="140"/>
    </row>
    <row r="795" s="119" customFormat="1" ht="24" customHeight="1" outlineLevel="1" spans="1:57">
      <c r="A795" s="141"/>
      <c r="B795" s="14" t="s">
        <v>101</v>
      </c>
      <c r="C795" s="15"/>
      <c r="D795" s="142"/>
      <c r="E795" s="143"/>
      <c r="F795" s="143"/>
      <c r="G795" s="143"/>
      <c r="H795" s="143"/>
      <c r="I795" s="143"/>
      <c r="J795" s="143"/>
      <c r="K795" s="144"/>
      <c r="L795" s="178"/>
      <c r="M795" s="139"/>
      <c r="N795" s="139"/>
      <c r="O795" s="139"/>
      <c r="P795" s="137"/>
      <c r="Q795" s="137"/>
      <c r="R795" s="138"/>
      <c r="S795" s="137"/>
      <c r="T795" s="137"/>
      <c r="U795" s="137"/>
      <c r="V795" s="137"/>
      <c r="W795" s="139"/>
      <c r="X795" s="139"/>
      <c r="Y795" s="139"/>
      <c r="Z795" s="139"/>
      <c r="AA795" s="139"/>
      <c r="AB795" s="139"/>
      <c r="AC795" s="139"/>
      <c r="AD795" s="139"/>
      <c r="AE795" s="139"/>
      <c r="AF795" s="140"/>
      <c r="AG795" s="140"/>
      <c r="AH795" s="140"/>
      <c r="AI795" s="140"/>
      <c r="AJ795" s="140"/>
      <c r="AK795" s="140"/>
      <c r="AL795" s="140"/>
      <c r="AM795" s="140"/>
      <c r="AN795" s="140"/>
      <c r="AO795" s="140"/>
      <c r="AP795" s="140"/>
      <c r="AQ795" s="140"/>
      <c r="AR795" s="140"/>
      <c r="AS795" s="140"/>
      <c r="AT795" s="140"/>
      <c r="AU795" s="140"/>
      <c r="AV795" s="140"/>
      <c r="AW795" s="140"/>
      <c r="AX795" s="140"/>
      <c r="AY795" s="140"/>
      <c r="AZ795" s="140"/>
      <c r="BA795" s="140"/>
      <c r="BB795" s="140"/>
      <c r="BC795" s="140"/>
      <c r="BD795" s="140"/>
      <c r="BE795" s="140"/>
    </row>
    <row r="796" s="119" customFormat="1" ht="96" customHeight="1" outlineLevel="2" spans="1:57">
      <c r="A796" s="162">
        <f t="shared" ref="A796:A802" si="231">1+N(A795)</f>
        <v>1</v>
      </c>
      <c r="B796" s="14" t="s">
        <v>102</v>
      </c>
      <c r="C796" s="167" t="s">
        <v>103</v>
      </c>
      <c r="D796" s="142" t="s">
        <v>63</v>
      </c>
      <c r="E796" s="143">
        <v>9.42</v>
      </c>
      <c r="F796" s="143">
        <f>$F$28</f>
        <v>70</v>
      </c>
      <c r="G796" s="143">
        <f>$G$28</f>
        <v>0</v>
      </c>
      <c r="H796" s="143">
        <f>$H$28</f>
        <v>66.711</v>
      </c>
      <c r="I796" s="17">
        <f t="shared" ref="I796:I802" si="232">(F796+G796+H796)*$I$3</f>
        <v>13.6711</v>
      </c>
      <c r="J796" s="18">
        <f t="shared" ref="J796:J802" si="233">ROUND(SUM(F796:I796),2)</f>
        <v>150.38</v>
      </c>
      <c r="K796" s="19">
        <f t="shared" ref="K796:K802" si="234">ROUND(J796*E796,2)</f>
        <v>1416.58</v>
      </c>
      <c r="L796" s="178"/>
      <c r="M796" s="139">
        <v>1</v>
      </c>
      <c r="N796" s="139">
        <v>1287.81</v>
      </c>
      <c r="O796" s="139"/>
      <c r="P796" s="37">
        <f t="shared" ref="P796:P802" si="235">Q796+Q796*R796+S796+T796+U796</f>
        <v>136.711</v>
      </c>
      <c r="Q796" s="99">
        <f>$Q$28</f>
        <v>0</v>
      </c>
      <c r="R796" s="163">
        <f>$R$28</f>
        <v>0.01</v>
      </c>
      <c r="S796" s="99">
        <f>$S$28</f>
        <v>70</v>
      </c>
      <c r="T796" s="99">
        <f>$T$28</f>
        <v>64.711</v>
      </c>
      <c r="U796" s="99">
        <f>$U$28</f>
        <v>2</v>
      </c>
      <c r="V796" s="37">
        <f t="shared" ref="V796:V802" si="236">P796*E796</f>
        <v>1287.81762</v>
      </c>
      <c r="W796" s="139"/>
      <c r="X796" s="139"/>
      <c r="Y796" s="139"/>
      <c r="Z796" s="139"/>
      <c r="AA796" s="139"/>
      <c r="AB796" s="139"/>
      <c r="AC796" s="139"/>
      <c r="AD796" s="139"/>
      <c r="AE796" s="139"/>
      <c r="AF796" s="140"/>
      <c r="AG796" s="140"/>
      <c r="AH796" s="140"/>
      <c r="AI796" s="140"/>
      <c r="AJ796" s="140"/>
      <c r="AK796" s="140"/>
      <c r="AL796" s="140"/>
      <c r="AM796" s="140"/>
      <c r="AN796" s="140"/>
      <c r="AO796" s="140"/>
      <c r="AP796" s="140"/>
      <c r="AQ796" s="140"/>
      <c r="AR796" s="140"/>
      <c r="AS796" s="140"/>
      <c r="AT796" s="140"/>
      <c r="AU796" s="140"/>
      <c r="AV796" s="140"/>
      <c r="AW796" s="140"/>
      <c r="AX796" s="140"/>
      <c r="AY796" s="140"/>
      <c r="AZ796" s="140"/>
      <c r="BA796" s="140"/>
      <c r="BB796" s="140"/>
      <c r="BC796" s="140"/>
      <c r="BD796" s="140"/>
      <c r="BE796" s="140"/>
    </row>
    <row r="797" s="119" customFormat="1" ht="72" customHeight="1" outlineLevel="2" spans="1:57">
      <c r="A797" s="162">
        <f t="shared" si="231"/>
        <v>2</v>
      </c>
      <c r="B797" s="14" t="s">
        <v>315</v>
      </c>
      <c r="C797" s="167" t="s">
        <v>316</v>
      </c>
      <c r="D797" s="142" t="s">
        <v>63</v>
      </c>
      <c r="E797" s="143">
        <v>7.3</v>
      </c>
      <c r="F797" s="143">
        <f>$F$556</f>
        <v>150</v>
      </c>
      <c r="G797" s="143">
        <f>$G$556</f>
        <v>0</v>
      </c>
      <c r="H797" s="143">
        <f>$H$556</f>
        <v>100.5665</v>
      </c>
      <c r="I797" s="17">
        <f t="shared" si="232"/>
        <v>25.05665</v>
      </c>
      <c r="J797" s="18">
        <f t="shared" si="233"/>
        <v>275.62</v>
      </c>
      <c r="K797" s="19">
        <f t="shared" si="234"/>
        <v>2012.03</v>
      </c>
      <c r="L797" s="178"/>
      <c r="M797" s="139">
        <v>1</v>
      </c>
      <c r="N797" s="139">
        <v>1829.16</v>
      </c>
      <c r="O797" s="139"/>
      <c r="P797" s="37">
        <f t="shared" si="235"/>
        <v>250.5665</v>
      </c>
      <c r="Q797" s="99">
        <f>$Q$556</f>
        <v>0</v>
      </c>
      <c r="R797" s="163">
        <f>$R$556</f>
        <v>0.01</v>
      </c>
      <c r="S797" s="99">
        <f>$S$556</f>
        <v>150</v>
      </c>
      <c r="T797" s="99">
        <f>$T$556</f>
        <v>97.0665</v>
      </c>
      <c r="U797" s="99">
        <f>$U$556</f>
        <v>3.5</v>
      </c>
      <c r="V797" s="37">
        <f t="shared" si="236"/>
        <v>1829.13545</v>
      </c>
      <c r="W797" s="139"/>
      <c r="X797" s="139"/>
      <c r="Y797" s="139"/>
      <c r="Z797" s="139"/>
      <c r="AA797" s="139"/>
      <c r="AB797" s="139"/>
      <c r="AC797" s="139"/>
      <c r="AD797" s="139"/>
      <c r="AE797" s="139"/>
      <c r="AF797" s="140"/>
      <c r="AG797" s="140"/>
      <c r="AH797" s="140"/>
      <c r="AI797" s="140"/>
      <c r="AJ797" s="140"/>
      <c r="AK797" s="140"/>
      <c r="AL797" s="140"/>
      <c r="AM797" s="140"/>
      <c r="AN797" s="140"/>
      <c r="AO797" s="140"/>
      <c r="AP797" s="140"/>
      <c r="AQ797" s="140"/>
      <c r="AR797" s="140"/>
      <c r="AS797" s="140"/>
      <c r="AT797" s="140"/>
      <c r="AU797" s="140"/>
      <c r="AV797" s="140"/>
      <c r="AW797" s="140"/>
      <c r="AX797" s="140"/>
      <c r="AY797" s="140"/>
      <c r="AZ797" s="140"/>
      <c r="BA797" s="140"/>
      <c r="BB797" s="140"/>
      <c r="BC797" s="140"/>
      <c r="BD797" s="140"/>
      <c r="BE797" s="140"/>
    </row>
    <row r="798" s="119" customFormat="1" ht="72" customHeight="1" outlineLevel="2" spans="1:57">
      <c r="A798" s="162">
        <f t="shared" si="231"/>
        <v>3</v>
      </c>
      <c r="B798" s="14" t="s">
        <v>104</v>
      </c>
      <c r="C798" s="167" t="s">
        <v>105</v>
      </c>
      <c r="D798" s="142" t="s">
        <v>70</v>
      </c>
      <c r="E798" s="143">
        <v>13.75</v>
      </c>
      <c r="F798" s="143">
        <f>$F$29</f>
        <v>50</v>
      </c>
      <c r="G798" s="143">
        <f>$G$29</f>
        <v>0</v>
      </c>
      <c r="H798" s="143">
        <f>$H$29</f>
        <v>22.0941</v>
      </c>
      <c r="I798" s="17">
        <f t="shared" si="232"/>
        <v>7.20941</v>
      </c>
      <c r="J798" s="18">
        <f t="shared" si="233"/>
        <v>79.3</v>
      </c>
      <c r="K798" s="19">
        <f t="shared" si="234"/>
        <v>1090.38</v>
      </c>
      <c r="L798" s="178"/>
      <c r="M798" s="139">
        <v>1</v>
      </c>
      <c r="N798" s="139">
        <v>991.24</v>
      </c>
      <c r="O798" s="139"/>
      <c r="P798" s="37">
        <f t="shared" si="235"/>
        <v>72.0941</v>
      </c>
      <c r="Q798" s="99">
        <f>$Q$29</f>
        <v>0</v>
      </c>
      <c r="R798" s="163">
        <f>$R$29</f>
        <v>0.01</v>
      </c>
      <c r="S798" s="99">
        <f>$S$29</f>
        <v>50</v>
      </c>
      <c r="T798" s="99">
        <f>$T$29</f>
        <v>22.0941</v>
      </c>
      <c r="U798" s="99">
        <f>$U$29</f>
        <v>0</v>
      </c>
      <c r="V798" s="37">
        <f t="shared" si="236"/>
        <v>991.293875</v>
      </c>
      <c r="W798" s="139"/>
      <c r="X798" s="139"/>
      <c r="Y798" s="139"/>
      <c r="Z798" s="139"/>
      <c r="AA798" s="139"/>
      <c r="AB798" s="139"/>
      <c r="AC798" s="139"/>
      <c r="AD798" s="139"/>
      <c r="AE798" s="139"/>
      <c r="AF798" s="140"/>
      <c r="AG798" s="140"/>
      <c r="AH798" s="140"/>
      <c r="AI798" s="140"/>
      <c r="AJ798" s="140"/>
      <c r="AK798" s="140"/>
      <c r="AL798" s="140"/>
      <c r="AM798" s="140"/>
      <c r="AN798" s="140"/>
      <c r="AO798" s="140"/>
      <c r="AP798" s="140"/>
      <c r="AQ798" s="140"/>
      <c r="AR798" s="140"/>
      <c r="AS798" s="140"/>
      <c r="AT798" s="140"/>
      <c r="AU798" s="140"/>
      <c r="AV798" s="140"/>
      <c r="AW798" s="140"/>
      <c r="AX798" s="140"/>
      <c r="AY798" s="140"/>
      <c r="AZ798" s="140"/>
      <c r="BA798" s="140"/>
      <c r="BB798" s="140"/>
      <c r="BC798" s="140"/>
      <c r="BD798" s="140"/>
      <c r="BE798" s="140"/>
    </row>
    <row r="799" s="119" customFormat="1" ht="72" customHeight="1" outlineLevel="2" spans="1:57">
      <c r="A799" s="162">
        <f t="shared" si="231"/>
        <v>4</v>
      </c>
      <c r="B799" s="14" t="s">
        <v>106</v>
      </c>
      <c r="C799" s="15" t="s">
        <v>107</v>
      </c>
      <c r="D799" s="142" t="s">
        <v>70</v>
      </c>
      <c r="E799" s="143">
        <v>13.75</v>
      </c>
      <c r="F799" s="143">
        <f>$F$30</f>
        <v>18</v>
      </c>
      <c r="G799" s="143">
        <f>$G$30</f>
        <v>163.255</v>
      </c>
      <c r="H799" s="143">
        <f>$H$30</f>
        <v>3.8</v>
      </c>
      <c r="I799" s="17">
        <f t="shared" si="232"/>
        <v>18.5055</v>
      </c>
      <c r="J799" s="18">
        <f t="shared" si="233"/>
        <v>203.56</v>
      </c>
      <c r="K799" s="19">
        <f t="shared" si="234"/>
        <v>2798.95</v>
      </c>
      <c r="L799" s="178"/>
      <c r="M799" s="139">
        <v>1</v>
      </c>
      <c r="N799" s="139">
        <v>2544.58</v>
      </c>
      <c r="O799" s="139"/>
      <c r="P799" s="37">
        <f t="shared" si="235"/>
        <v>185.055</v>
      </c>
      <c r="Q799" s="99">
        <f>$Q$30</f>
        <v>158.5</v>
      </c>
      <c r="R799" s="163">
        <f>$R$30</f>
        <v>0.03</v>
      </c>
      <c r="S799" s="99">
        <f>$S$30</f>
        <v>18</v>
      </c>
      <c r="T799" s="99">
        <f>$T$30</f>
        <v>3.5</v>
      </c>
      <c r="U799" s="99">
        <f>$U$30</f>
        <v>0.3</v>
      </c>
      <c r="V799" s="37">
        <f t="shared" si="236"/>
        <v>2544.50625</v>
      </c>
      <c r="W799" s="139"/>
      <c r="X799" s="139"/>
      <c r="Y799" s="139"/>
      <c r="Z799" s="139"/>
      <c r="AA799" s="139"/>
      <c r="AB799" s="139"/>
      <c r="AC799" s="139"/>
      <c r="AD799" s="139"/>
      <c r="AE799" s="139"/>
      <c r="AF799" s="140"/>
      <c r="AG799" s="140"/>
      <c r="AH799" s="140"/>
      <c r="AI799" s="140"/>
      <c r="AJ799" s="140"/>
      <c r="AK799" s="140"/>
      <c r="AL799" s="140"/>
      <c r="AM799" s="140"/>
      <c r="AN799" s="140"/>
      <c r="AO799" s="140"/>
      <c r="AP799" s="140"/>
      <c r="AQ799" s="140"/>
      <c r="AR799" s="140"/>
      <c r="AS799" s="140"/>
      <c r="AT799" s="140"/>
      <c r="AU799" s="140"/>
      <c r="AV799" s="140"/>
      <c r="AW799" s="140"/>
      <c r="AX799" s="140"/>
      <c r="AY799" s="140"/>
      <c r="AZ799" s="140"/>
      <c r="BA799" s="140"/>
      <c r="BB799" s="140"/>
      <c r="BC799" s="140"/>
      <c r="BD799" s="140"/>
      <c r="BE799" s="140"/>
    </row>
    <row r="800" s="119" customFormat="1" ht="72" customHeight="1" outlineLevel="2" spans="1:57">
      <c r="A800" s="162">
        <f t="shared" si="231"/>
        <v>5</v>
      </c>
      <c r="B800" s="14" t="s">
        <v>268</v>
      </c>
      <c r="C800" s="15" t="s">
        <v>269</v>
      </c>
      <c r="D800" s="142" t="s">
        <v>70</v>
      </c>
      <c r="E800" s="143">
        <v>3.6</v>
      </c>
      <c r="F800" s="143">
        <f>$F$472</f>
        <v>55</v>
      </c>
      <c r="G800" s="143">
        <f>$G$472</f>
        <v>0</v>
      </c>
      <c r="H800" s="143">
        <f>$H$472</f>
        <v>29.6688</v>
      </c>
      <c r="I800" s="17">
        <f t="shared" si="232"/>
        <v>8.46688</v>
      </c>
      <c r="J800" s="18">
        <f t="shared" si="233"/>
        <v>93.14</v>
      </c>
      <c r="K800" s="19">
        <f t="shared" si="234"/>
        <v>335.3</v>
      </c>
      <c r="L800" s="178"/>
      <c r="M800" s="139">
        <v>1</v>
      </c>
      <c r="N800" s="139">
        <v>304.81</v>
      </c>
      <c r="O800" s="139"/>
      <c r="P800" s="37">
        <f t="shared" si="235"/>
        <v>84.6688</v>
      </c>
      <c r="Q800" s="99">
        <f>$Q$472</f>
        <v>0</v>
      </c>
      <c r="R800" s="163">
        <f>$R$472</f>
        <v>0.01</v>
      </c>
      <c r="S800" s="99">
        <f>$S$472</f>
        <v>55</v>
      </c>
      <c r="T800" s="99">
        <f>$T$472</f>
        <v>29.6688</v>
      </c>
      <c r="U800" s="99">
        <f>$U$472</f>
        <v>0</v>
      </c>
      <c r="V800" s="37">
        <f t="shared" si="236"/>
        <v>304.80768</v>
      </c>
      <c r="W800" s="139"/>
      <c r="X800" s="139"/>
      <c r="Y800" s="139"/>
      <c r="Z800" s="139"/>
      <c r="AA800" s="139"/>
      <c r="AB800" s="139"/>
      <c r="AC800" s="139"/>
      <c r="AD800" s="139"/>
      <c r="AE800" s="139"/>
      <c r="AF800" s="140"/>
      <c r="AG800" s="140"/>
      <c r="AH800" s="140"/>
      <c r="AI800" s="140"/>
      <c r="AJ800" s="140"/>
      <c r="AK800" s="140"/>
      <c r="AL800" s="140"/>
      <c r="AM800" s="140"/>
      <c r="AN800" s="140"/>
      <c r="AO800" s="140"/>
      <c r="AP800" s="140"/>
      <c r="AQ800" s="140"/>
      <c r="AR800" s="140"/>
      <c r="AS800" s="140"/>
      <c r="AT800" s="140"/>
      <c r="AU800" s="140"/>
      <c r="AV800" s="140"/>
      <c r="AW800" s="140"/>
      <c r="AX800" s="140"/>
      <c r="AY800" s="140"/>
      <c r="AZ800" s="140"/>
      <c r="BA800" s="140"/>
      <c r="BB800" s="140"/>
      <c r="BC800" s="140"/>
      <c r="BD800" s="140"/>
      <c r="BE800" s="140"/>
    </row>
    <row r="801" s="119" customFormat="1" ht="72" customHeight="1" outlineLevel="2" spans="1:57">
      <c r="A801" s="162">
        <f t="shared" si="231"/>
        <v>6</v>
      </c>
      <c r="B801" s="14" t="s">
        <v>108</v>
      </c>
      <c r="C801" s="15" t="s">
        <v>109</v>
      </c>
      <c r="D801" s="142" t="s">
        <v>70</v>
      </c>
      <c r="E801" s="143">
        <f>1.2*2*1</f>
        <v>2.4</v>
      </c>
      <c r="F801" s="143">
        <f>$F$31</f>
        <v>30</v>
      </c>
      <c r="G801" s="143">
        <f>$G$31</f>
        <v>65.6625</v>
      </c>
      <c r="H801" s="143">
        <f>$H$31</f>
        <v>2.7</v>
      </c>
      <c r="I801" s="17">
        <f t="shared" si="232"/>
        <v>9.83625</v>
      </c>
      <c r="J801" s="18">
        <f t="shared" si="233"/>
        <v>108.2</v>
      </c>
      <c r="K801" s="19">
        <f t="shared" si="234"/>
        <v>259.68</v>
      </c>
      <c r="L801" s="178"/>
      <c r="M801" s="139">
        <v>1</v>
      </c>
      <c r="N801" s="139">
        <v>236.06</v>
      </c>
      <c r="O801" s="139"/>
      <c r="P801" s="37">
        <f t="shared" si="235"/>
        <v>98.3625</v>
      </c>
      <c r="Q801" s="99">
        <f>$Q$31</f>
        <v>63.75</v>
      </c>
      <c r="R801" s="163">
        <f>$R$31</f>
        <v>0.03</v>
      </c>
      <c r="S801" s="99">
        <f>$S$31</f>
        <v>30</v>
      </c>
      <c r="T801" s="99">
        <f>$T$31</f>
        <v>2.5</v>
      </c>
      <c r="U801" s="99">
        <f>$U$31</f>
        <v>0.2</v>
      </c>
      <c r="V801" s="37">
        <f t="shared" si="236"/>
        <v>236.07</v>
      </c>
      <c r="W801" s="139"/>
      <c r="X801" s="139"/>
      <c r="Y801" s="139"/>
      <c r="Z801" s="139"/>
      <c r="AA801" s="139"/>
      <c r="AB801" s="139"/>
      <c r="AC801" s="139"/>
      <c r="AD801" s="139"/>
      <c r="AE801" s="139"/>
      <c r="AF801" s="140"/>
      <c r="AG801" s="140"/>
      <c r="AH801" s="140"/>
      <c r="AI801" s="140"/>
      <c r="AJ801" s="140"/>
      <c r="AK801" s="140"/>
      <c r="AL801" s="140"/>
      <c r="AM801" s="140"/>
      <c r="AN801" s="140"/>
      <c r="AO801" s="140"/>
      <c r="AP801" s="140"/>
      <c r="AQ801" s="140"/>
      <c r="AR801" s="140"/>
      <c r="AS801" s="140"/>
      <c r="AT801" s="140"/>
      <c r="AU801" s="140"/>
      <c r="AV801" s="140"/>
      <c r="AW801" s="140"/>
      <c r="AX801" s="140"/>
      <c r="AY801" s="140"/>
      <c r="AZ801" s="140"/>
      <c r="BA801" s="140"/>
      <c r="BB801" s="140"/>
      <c r="BC801" s="140"/>
      <c r="BD801" s="140"/>
      <c r="BE801" s="140"/>
    </row>
    <row r="802" s="119" customFormat="1" ht="72" customHeight="1" outlineLevel="2" spans="1:57">
      <c r="A802" s="162">
        <f t="shared" si="231"/>
        <v>7</v>
      </c>
      <c r="B802" s="14" t="s">
        <v>110</v>
      </c>
      <c r="C802" s="15" t="s">
        <v>111</v>
      </c>
      <c r="D802" s="142" t="s">
        <v>63</v>
      </c>
      <c r="E802" s="143">
        <f>16.7+13.75*0.3+3.6*0.4</f>
        <v>22.265</v>
      </c>
      <c r="F802" s="143">
        <f>$F$32</f>
        <v>45</v>
      </c>
      <c r="G802" s="143">
        <f>$G$32</f>
        <v>85.5</v>
      </c>
      <c r="H802" s="143">
        <f>$H$32</f>
        <v>7.3</v>
      </c>
      <c r="I802" s="17">
        <f t="shared" si="232"/>
        <v>13.78</v>
      </c>
      <c r="J802" s="18">
        <f t="shared" si="233"/>
        <v>151.58</v>
      </c>
      <c r="K802" s="19">
        <f t="shared" si="234"/>
        <v>3374.93</v>
      </c>
      <c r="L802" s="178"/>
      <c r="M802" s="139">
        <v>1</v>
      </c>
      <c r="N802" s="139">
        <v>3068.12</v>
      </c>
      <c r="O802" s="139"/>
      <c r="P802" s="37">
        <f t="shared" si="235"/>
        <v>137.8</v>
      </c>
      <c r="Q802" s="99">
        <f>$Q$32</f>
        <v>85.5</v>
      </c>
      <c r="R802" s="163">
        <f>$R$32</f>
        <v>0</v>
      </c>
      <c r="S802" s="99">
        <f>$S$32</f>
        <v>45</v>
      </c>
      <c r="T802" s="99">
        <f>$T$32</f>
        <v>6.5</v>
      </c>
      <c r="U802" s="99">
        <f>$U$32</f>
        <v>0.8</v>
      </c>
      <c r="V802" s="37">
        <f t="shared" si="236"/>
        <v>3068.117</v>
      </c>
      <c r="W802" s="139"/>
      <c r="X802" s="139"/>
      <c r="Y802" s="139"/>
      <c r="Z802" s="139"/>
      <c r="AA802" s="139"/>
      <c r="AB802" s="139"/>
      <c r="AC802" s="139"/>
      <c r="AD802" s="139"/>
      <c r="AE802" s="139"/>
      <c r="AF802" s="140"/>
      <c r="AG802" s="140"/>
      <c r="AH802" s="140"/>
      <c r="AI802" s="140"/>
      <c r="AJ802" s="140"/>
      <c r="AK802" s="140"/>
      <c r="AL802" s="140"/>
      <c r="AM802" s="140"/>
      <c r="AN802" s="140"/>
      <c r="AO802" s="140"/>
      <c r="AP802" s="140"/>
      <c r="AQ802" s="140"/>
      <c r="AR802" s="140"/>
      <c r="AS802" s="140"/>
      <c r="AT802" s="140"/>
      <c r="AU802" s="140"/>
      <c r="AV802" s="140"/>
      <c r="AW802" s="140"/>
      <c r="AX802" s="140"/>
      <c r="AY802" s="140"/>
      <c r="AZ802" s="140"/>
      <c r="BA802" s="140"/>
      <c r="BB802" s="140"/>
      <c r="BC802" s="140"/>
      <c r="BD802" s="140"/>
      <c r="BE802" s="140"/>
    </row>
    <row r="803" s="119" customFormat="1" ht="24" customHeight="1" outlineLevel="1" spans="1:57">
      <c r="A803" s="141"/>
      <c r="B803" s="14" t="s">
        <v>112</v>
      </c>
      <c r="C803" s="15"/>
      <c r="D803" s="142"/>
      <c r="E803" s="143"/>
      <c r="F803" s="143"/>
      <c r="G803" s="143"/>
      <c r="H803" s="143"/>
      <c r="I803" s="143"/>
      <c r="J803" s="143"/>
      <c r="K803" s="144"/>
      <c r="L803" s="178"/>
      <c r="M803" s="139"/>
      <c r="N803" s="139"/>
      <c r="O803" s="139" t="s">
        <v>377</v>
      </c>
      <c r="P803" s="137"/>
      <c r="Q803" s="137"/>
      <c r="R803" s="138"/>
      <c r="S803" s="137"/>
      <c r="T803" s="137"/>
      <c r="U803" s="137"/>
      <c r="V803" s="137"/>
      <c r="W803" s="139"/>
      <c r="X803" s="139"/>
      <c r="Y803" s="139"/>
      <c r="Z803" s="139"/>
      <c r="AA803" s="139"/>
      <c r="AB803" s="139"/>
      <c r="AC803" s="139"/>
      <c r="AD803" s="139"/>
      <c r="AE803" s="139"/>
      <c r="AF803" s="140"/>
      <c r="AG803" s="140"/>
      <c r="AH803" s="140"/>
      <c r="AI803" s="140"/>
      <c r="AJ803" s="140"/>
      <c r="AK803" s="140"/>
      <c r="AL803" s="140"/>
      <c r="AM803" s="140"/>
      <c r="AN803" s="140"/>
      <c r="AO803" s="140"/>
      <c r="AP803" s="140"/>
      <c r="AQ803" s="140"/>
      <c r="AR803" s="140"/>
      <c r="AS803" s="140"/>
      <c r="AT803" s="140"/>
      <c r="AU803" s="140"/>
      <c r="AV803" s="140"/>
      <c r="AW803" s="140"/>
      <c r="AX803" s="140"/>
      <c r="AY803" s="140"/>
      <c r="AZ803" s="140"/>
      <c r="BA803" s="140"/>
      <c r="BB803" s="140"/>
      <c r="BC803" s="140"/>
      <c r="BD803" s="140"/>
      <c r="BE803" s="140"/>
    </row>
    <row r="804" s="119" customFormat="1" ht="24" customHeight="1" outlineLevel="1" spans="1:57">
      <c r="A804" s="132" t="s">
        <v>378</v>
      </c>
      <c r="B804" s="8" t="s">
        <v>379</v>
      </c>
      <c r="C804" s="8"/>
      <c r="D804" s="133"/>
      <c r="E804" s="134"/>
      <c r="F804" s="134"/>
      <c r="G804" s="134"/>
      <c r="H804" s="134"/>
      <c r="I804" s="134"/>
      <c r="J804" s="134"/>
      <c r="K804" s="11"/>
      <c r="L804" s="178"/>
      <c r="M804" s="139"/>
      <c r="N804" s="139"/>
      <c r="O804" s="139" t="str">
        <f>_xlfn.DISPIMG("ID_26772D558EF748CABF8F4CA7FDFBC7AE",1)</f>
        <v>=DISPIMG("ID_26772D558EF748CABF8F4CA7FDFBC7AE",1)</v>
      </c>
      <c r="P804" s="137"/>
      <c r="Q804" s="137"/>
      <c r="R804" s="138"/>
      <c r="S804" s="137"/>
      <c r="T804" s="137"/>
      <c r="U804" s="137"/>
      <c r="V804" s="137"/>
      <c r="W804" s="139"/>
      <c r="X804" s="139"/>
      <c r="Y804" s="139"/>
      <c r="Z804" s="139"/>
      <c r="AA804" s="139"/>
      <c r="AB804" s="139"/>
      <c r="AC804" s="139"/>
      <c r="AD804" s="139"/>
      <c r="AE804" s="139"/>
      <c r="AF804" s="140"/>
      <c r="AG804" s="140"/>
      <c r="AH804" s="140"/>
      <c r="AI804" s="140"/>
      <c r="AJ804" s="140"/>
      <c r="AK804" s="140"/>
      <c r="AL804" s="140"/>
      <c r="AM804" s="140"/>
      <c r="AN804" s="140"/>
      <c r="AO804" s="140"/>
      <c r="AP804" s="140"/>
      <c r="AQ804" s="140"/>
      <c r="AR804" s="140"/>
      <c r="AS804" s="140"/>
      <c r="AT804" s="140"/>
      <c r="AU804" s="140"/>
      <c r="AV804" s="140"/>
      <c r="AW804" s="140"/>
      <c r="AX804" s="140"/>
      <c r="AY804" s="140"/>
      <c r="AZ804" s="140"/>
      <c r="BA804" s="140"/>
      <c r="BB804" s="140"/>
      <c r="BC804" s="140"/>
      <c r="BD804" s="140"/>
      <c r="BE804" s="140"/>
    </row>
    <row r="805" s="119" customFormat="1" ht="24" customHeight="1" outlineLevel="1" spans="1:57">
      <c r="A805" s="141"/>
      <c r="B805" s="14" t="s">
        <v>60</v>
      </c>
      <c r="C805" s="15"/>
      <c r="D805" s="142"/>
      <c r="E805" s="143"/>
      <c r="F805" s="143"/>
      <c r="G805" s="143"/>
      <c r="H805" s="143"/>
      <c r="I805" s="143"/>
      <c r="J805" s="143"/>
      <c r="K805" s="144"/>
      <c r="L805" s="178"/>
      <c r="M805" s="139"/>
      <c r="N805" s="139"/>
      <c r="O805" s="139"/>
      <c r="P805" s="137"/>
      <c r="Q805" s="137"/>
      <c r="R805" s="138"/>
      <c r="S805" s="137"/>
      <c r="T805" s="137"/>
      <c r="U805" s="137"/>
      <c r="V805" s="137"/>
      <c r="W805" s="139"/>
      <c r="X805" s="139"/>
      <c r="Y805" s="139"/>
      <c r="Z805" s="139"/>
      <c r="AA805" s="139"/>
      <c r="AB805" s="139"/>
      <c r="AC805" s="139"/>
      <c r="AD805" s="139"/>
      <c r="AE805" s="139"/>
      <c r="AF805" s="140"/>
      <c r="AG805" s="140"/>
      <c r="AH805" s="140"/>
      <c r="AI805" s="140"/>
      <c r="AJ805" s="140"/>
      <c r="AK805" s="140"/>
      <c r="AL805" s="140"/>
      <c r="AM805" s="140"/>
      <c r="AN805" s="140"/>
      <c r="AO805" s="140"/>
      <c r="AP805" s="140"/>
      <c r="AQ805" s="140"/>
      <c r="AR805" s="140"/>
      <c r="AS805" s="140"/>
      <c r="AT805" s="140"/>
      <c r="AU805" s="140"/>
      <c r="AV805" s="140"/>
      <c r="AW805" s="140"/>
      <c r="AX805" s="140"/>
      <c r="AY805" s="140"/>
      <c r="AZ805" s="140"/>
      <c r="BA805" s="140"/>
      <c r="BB805" s="140"/>
      <c r="BC805" s="140"/>
      <c r="BD805" s="140"/>
      <c r="BE805" s="140"/>
    </row>
    <row r="806" s="119" customFormat="1" ht="96" customHeight="1" outlineLevel="2" spans="1:57">
      <c r="A806" s="145">
        <f>1+N(A805)</f>
        <v>1</v>
      </c>
      <c r="B806" s="146" t="s">
        <v>380</v>
      </c>
      <c r="C806" s="147" t="s">
        <v>381</v>
      </c>
      <c r="D806" s="148" t="s">
        <v>63</v>
      </c>
      <c r="E806" s="149">
        <v>4.4</v>
      </c>
      <c r="F806" s="149">
        <f>S806*$S$1</f>
        <v>140</v>
      </c>
      <c r="G806" s="149">
        <f>Q806*(1+R806)*$Q$1</f>
        <v>916.7</v>
      </c>
      <c r="H806" s="150">
        <f>(T806+U806)*$T$1</f>
        <v>47.7</v>
      </c>
      <c r="I806" s="150">
        <f>(F806+G806+H806)*$I$3</f>
        <v>110.44</v>
      </c>
      <c r="J806" s="151">
        <f>ROUND(SUM(F806:I806),2)</f>
        <v>1214.84</v>
      </c>
      <c r="K806" s="152">
        <f>ROUND(J806*E806,2)</f>
        <v>5345.3</v>
      </c>
      <c r="L806" s="178"/>
      <c r="M806" s="139">
        <v>1</v>
      </c>
      <c r="N806" s="139">
        <v>4859.36</v>
      </c>
      <c r="O806" s="139"/>
      <c r="P806" s="37">
        <f>Q806+Q806*R806+S806+T806+U806</f>
        <v>1104.4</v>
      </c>
      <c r="Q806" s="71">
        <v>890</v>
      </c>
      <c r="R806" s="157">
        <v>0.03</v>
      </c>
      <c r="S806" s="71">
        <v>140</v>
      </c>
      <c r="T806" s="71">
        <v>46.2</v>
      </c>
      <c r="U806" s="71">
        <v>1.5</v>
      </c>
      <c r="V806" s="37">
        <f>P806*E806</f>
        <v>4859.36</v>
      </c>
      <c r="W806" s="139"/>
      <c r="X806" s="139"/>
      <c r="Y806" s="139"/>
      <c r="Z806" s="139"/>
      <c r="AA806" s="139"/>
      <c r="AB806" s="139"/>
      <c r="AC806" s="139"/>
      <c r="AD806" s="139"/>
      <c r="AE806" s="139"/>
      <c r="AF806" s="140"/>
      <c r="AG806" s="140"/>
      <c r="AH806" s="140"/>
      <c r="AI806" s="140"/>
      <c r="AJ806" s="140"/>
      <c r="AK806" s="140"/>
      <c r="AL806" s="140"/>
      <c r="AM806" s="140"/>
      <c r="AN806" s="140"/>
      <c r="AO806" s="140"/>
      <c r="AP806" s="140"/>
      <c r="AQ806" s="140"/>
      <c r="AR806" s="140"/>
      <c r="AS806" s="140"/>
      <c r="AT806" s="140"/>
      <c r="AU806" s="140"/>
      <c r="AV806" s="140"/>
      <c r="AW806" s="140"/>
      <c r="AX806" s="140"/>
      <c r="AY806" s="140"/>
      <c r="AZ806" s="140"/>
      <c r="BA806" s="140"/>
      <c r="BB806" s="140"/>
      <c r="BC806" s="140"/>
      <c r="BD806" s="140"/>
      <c r="BE806" s="140"/>
    </row>
    <row r="807" s="119" customFormat="1" ht="72" customHeight="1" outlineLevel="2" spans="1:57">
      <c r="A807" s="145">
        <f>1+N(A806)</f>
        <v>2</v>
      </c>
      <c r="B807" s="146" t="s">
        <v>325</v>
      </c>
      <c r="C807" s="147" t="s">
        <v>382</v>
      </c>
      <c r="D807" s="148" t="s">
        <v>63</v>
      </c>
      <c r="E807" s="149">
        <v>52.36</v>
      </c>
      <c r="F807" s="149">
        <f>S807*$S$1</f>
        <v>36</v>
      </c>
      <c r="G807" s="149">
        <f>Q807*(1+R807)*$Q$1</f>
        <v>471.5</v>
      </c>
      <c r="H807" s="149">
        <f>(T807+U807)*$T$1</f>
        <v>17.5</v>
      </c>
      <c r="I807" s="150">
        <f>(F807+G807+H807)*$I$3</f>
        <v>52.5</v>
      </c>
      <c r="J807" s="151">
        <f>ROUND(SUM(F807:I807),2)</f>
        <v>577.5</v>
      </c>
      <c r="K807" s="152">
        <f>ROUND(J807*E807,2)</f>
        <v>30237.9</v>
      </c>
      <c r="L807" s="178"/>
      <c r="M807" s="139">
        <v>1</v>
      </c>
      <c r="N807" s="139">
        <v>27489</v>
      </c>
      <c r="O807" s="139"/>
      <c r="P807" s="37">
        <f>Q807+Q807*R807+S807+T807+U807</f>
        <v>525</v>
      </c>
      <c r="Q807" s="71">
        <v>460</v>
      </c>
      <c r="R807" s="157">
        <v>0.025</v>
      </c>
      <c r="S807" s="71">
        <v>36</v>
      </c>
      <c r="T807" s="71">
        <v>17.5</v>
      </c>
      <c r="U807" s="71"/>
      <c r="V807" s="37">
        <f>P807*E807</f>
        <v>27489</v>
      </c>
      <c r="W807" s="139"/>
      <c r="X807" s="139"/>
      <c r="Y807" s="139"/>
      <c r="Z807" s="139"/>
      <c r="AA807" s="139"/>
      <c r="AB807" s="139"/>
      <c r="AC807" s="139"/>
      <c r="AD807" s="139"/>
      <c r="AE807" s="139"/>
      <c r="AF807" s="140"/>
      <c r="AG807" s="140"/>
      <c r="AH807" s="140"/>
      <c r="AI807" s="140"/>
      <c r="AJ807" s="140"/>
      <c r="AK807" s="140"/>
      <c r="AL807" s="140"/>
      <c r="AM807" s="140"/>
      <c r="AN807" s="140"/>
      <c r="AO807" s="140"/>
      <c r="AP807" s="140"/>
      <c r="AQ807" s="140"/>
      <c r="AR807" s="140"/>
      <c r="AS807" s="140"/>
      <c r="AT807" s="140"/>
      <c r="AU807" s="140"/>
      <c r="AV807" s="140"/>
      <c r="AW807" s="140"/>
      <c r="AX807" s="140"/>
      <c r="AY807" s="140"/>
      <c r="AZ807" s="140"/>
      <c r="BA807" s="140"/>
      <c r="BB807" s="140"/>
      <c r="BC807" s="140"/>
      <c r="BD807" s="140"/>
      <c r="BE807" s="140"/>
    </row>
    <row r="808" s="119" customFormat="1" ht="60" customHeight="1" outlineLevel="2" spans="1:57">
      <c r="A808" s="162">
        <f>1+N(A807)</f>
        <v>3</v>
      </c>
      <c r="B808" s="14" t="s">
        <v>168</v>
      </c>
      <c r="C808" s="15" t="s">
        <v>306</v>
      </c>
      <c r="D808" s="142" t="s">
        <v>63</v>
      </c>
      <c r="E808" s="143">
        <v>52.36</v>
      </c>
      <c r="F808" s="143">
        <f>$F$539</f>
        <v>28</v>
      </c>
      <c r="G808" s="143">
        <f>$G$539</f>
        <v>0</v>
      </c>
      <c r="H808" s="143">
        <f>$H$539</f>
        <v>31.8</v>
      </c>
      <c r="I808" s="17">
        <f>(F808+G808+H808)*$I$3</f>
        <v>5.98</v>
      </c>
      <c r="J808" s="18">
        <f>ROUND(SUM(F808:I808),2)</f>
        <v>65.78</v>
      </c>
      <c r="K808" s="19">
        <f>ROUND(J808*E808,2)</f>
        <v>3444.24</v>
      </c>
      <c r="L808" s="178"/>
      <c r="M808" s="139">
        <v>1</v>
      </c>
      <c r="N808" s="139">
        <v>3131.13</v>
      </c>
      <c r="O808" s="139"/>
      <c r="P808" s="37">
        <f>Q808+Q808*R808+S808+T808+U808</f>
        <v>59.8</v>
      </c>
      <c r="Q808" s="99">
        <f>$Q$539</f>
        <v>0</v>
      </c>
      <c r="R808" s="163">
        <f>$R$539</f>
        <v>0</v>
      </c>
      <c r="S808" s="99">
        <f>$S$539</f>
        <v>28</v>
      </c>
      <c r="T808" s="99">
        <f>$T$539</f>
        <v>31.5</v>
      </c>
      <c r="U808" s="99">
        <f>$U$539</f>
        <v>0.3</v>
      </c>
      <c r="V808" s="37">
        <f>P808*E808</f>
        <v>3131.128</v>
      </c>
      <c r="W808" s="139"/>
      <c r="X808" s="139"/>
      <c r="Y808" s="139"/>
      <c r="Z808" s="139"/>
      <c r="AA808" s="139"/>
      <c r="AB808" s="139"/>
      <c r="AC808" s="139"/>
      <c r="AD808" s="139"/>
      <c r="AE808" s="139"/>
      <c r="AF808" s="140"/>
      <c r="AG808" s="140"/>
      <c r="AH808" s="140"/>
      <c r="AI808" s="140"/>
      <c r="AJ808" s="140"/>
      <c r="AK808" s="140"/>
      <c r="AL808" s="140"/>
      <c r="AM808" s="140"/>
      <c r="AN808" s="140"/>
      <c r="AO808" s="140"/>
      <c r="AP808" s="140"/>
      <c r="AQ808" s="140"/>
      <c r="AR808" s="140"/>
      <c r="AS808" s="140"/>
      <c r="AT808" s="140"/>
      <c r="AU808" s="140"/>
      <c r="AV808" s="140"/>
      <c r="AW808" s="140"/>
      <c r="AX808" s="140"/>
      <c r="AY808" s="140"/>
      <c r="AZ808" s="140"/>
      <c r="BA808" s="140"/>
      <c r="BB808" s="140"/>
      <c r="BC808" s="140"/>
      <c r="BD808" s="140"/>
      <c r="BE808" s="140"/>
    </row>
    <row r="809" s="119" customFormat="1" ht="48" customHeight="1" outlineLevel="2" spans="1:57">
      <c r="A809" s="162">
        <f>1+N(A808)</f>
        <v>4</v>
      </c>
      <c r="B809" s="14" t="s">
        <v>71</v>
      </c>
      <c r="C809" s="15" t="s">
        <v>72</v>
      </c>
      <c r="D809" s="142" t="s">
        <v>63</v>
      </c>
      <c r="E809" s="143">
        <v>4.4</v>
      </c>
      <c r="F809" s="143">
        <f>$F$11</f>
        <v>40</v>
      </c>
      <c r="G809" s="143">
        <f>$G$11</f>
        <v>15</v>
      </c>
      <c r="H809" s="143">
        <f>$H$11</f>
        <v>0.8</v>
      </c>
      <c r="I809" s="17">
        <f>(F809+G809+H809)*$I$3</f>
        <v>5.58</v>
      </c>
      <c r="J809" s="18">
        <f>ROUND(SUM(F809:I809),2)</f>
        <v>61.38</v>
      </c>
      <c r="K809" s="19">
        <f>ROUND(J809*E809,2)</f>
        <v>270.07</v>
      </c>
      <c r="L809" s="178"/>
      <c r="M809" s="139">
        <v>1</v>
      </c>
      <c r="N809" s="139">
        <v>245.52</v>
      </c>
      <c r="O809" s="139"/>
      <c r="P809" s="37">
        <f>Q809+Q809*R809+S809+T809+U809</f>
        <v>55.8</v>
      </c>
      <c r="Q809" s="99">
        <f>$Q$11</f>
        <v>15</v>
      </c>
      <c r="R809" s="163">
        <f>$R$11</f>
        <v>0</v>
      </c>
      <c r="S809" s="99">
        <f>$S$11</f>
        <v>40</v>
      </c>
      <c r="T809" s="99">
        <f>$T$11</f>
        <v>0.5</v>
      </c>
      <c r="U809" s="99">
        <f>$U$11</f>
        <v>0.3</v>
      </c>
      <c r="V809" s="37">
        <f>P809*E809</f>
        <v>245.52</v>
      </c>
      <c r="W809" s="139"/>
      <c r="X809" s="139"/>
      <c r="Y809" s="139"/>
      <c r="Z809" s="139"/>
      <c r="AA809" s="139"/>
      <c r="AB809" s="139"/>
      <c r="AC809" s="139"/>
      <c r="AD809" s="139"/>
      <c r="AE809" s="139"/>
      <c r="AF809" s="140"/>
      <c r="AG809" s="140"/>
      <c r="AH809" s="140"/>
      <c r="AI809" s="140"/>
      <c r="AJ809" s="140"/>
      <c r="AK809" s="140"/>
      <c r="AL809" s="140"/>
      <c r="AM809" s="140"/>
      <c r="AN809" s="140"/>
      <c r="AO809" s="140"/>
      <c r="AP809" s="140"/>
      <c r="AQ809" s="140"/>
      <c r="AR809" s="140"/>
      <c r="AS809" s="140"/>
      <c r="AT809" s="140"/>
      <c r="AU809" s="140"/>
      <c r="AV809" s="140"/>
      <c r="AW809" s="140"/>
      <c r="AX809" s="140"/>
      <c r="AY809" s="140"/>
      <c r="AZ809" s="140"/>
      <c r="BA809" s="140"/>
      <c r="BB809" s="140"/>
      <c r="BC809" s="140"/>
      <c r="BD809" s="140"/>
      <c r="BE809" s="140"/>
    </row>
    <row r="810" s="119" customFormat="1" ht="36" customHeight="1" outlineLevel="2" spans="1:57">
      <c r="A810" s="162">
        <f>1+N(A809)</f>
        <v>5</v>
      </c>
      <c r="B810" s="14" t="s">
        <v>68</v>
      </c>
      <c r="C810" s="15" t="s">
        <v>69</v>
      </c>
      <c r="D810" s="142" t="s">
        <v>70</v>
      </c>
      <c r="E810" s="143">
        <v>3.6</v>
      </c>
      <c r="F810" s="143">
        <f>$F$10</f>
        <v>12</v>
      </c>
      <c r="G810" s="143">
        <f>$G$10</f>
        <v>19.57</v>
      </c>
      <c r="H810" s="143">
        <f>$H$10</f>
        <v>0.5</v>
      </c>
      <c r="I810" s="17">
        <f>(F810+G810+H810)*$I$3</f>
        <v>3.207</v>
      </c>
      <c r="J810" s="18">
        <f>ROUND(SUM(F810:I810),2)</f>
        <v>35.28</v>
      </c>
      <c r="K810" s="19">
        <f>ROUND(J810*E810,2)</f>
        <v>127.01</v>
      </c>
      <c r="L810" s="178"/>
      <c r="M810" s="139">
        <v>1</v>
      </c>
      <c r="N810" s="139">
        <v>115.45</v>
      </c>
      <c r="O810" s="139"/>
      <c r="P810" s="37">
        <f>Q810+Q810*R810+S810+T810+U810</f>
        <v>32.07</v>
      </c>
      <c r="Q810" s="99">
        <f>$Q$10</f>
        <v>19</v>
      </c>
      <c r="R810" s="163">
        <f>$R$10</f>
        <v>0.03</v>
      </c>
      <c r="S810" s="99">
        <f>$S$10</f>
        <v>12</v>
      </c>
      <c r="T810" s="99">
        <f>$T$10</f>
        <v>0.3</v>
      </c>
      <c r="U810" s="99">
        <f>$U$10</f>
        <v>0.2</v>
      </c>
      <c r="V810" s="37">
        <f>P810*E810</f>
        <v>115.452</v>
      </c>
      <c r="W810" s="139"/>
      <c r="X810" s="139"/>
      <c r="Y810" s="139"/>
      <c r="Z810" s="139"/>
      <c r="AA810" s="139"/>
      <c r="AB810" s="139"/>
      <c r="AC810" s="139"/>
      <c r="AD810" s="139"/>
      <c r="AE810" s="139"/>
      <c r="AF810" s="140"/>
      <c r="AG810" s="140"/>
      <c r="AH810" s="140"/>
      <c r="AI810" s="140"/>
      <c r="AJ810" s="140"/>
      <c r="AK810" s="140"/>
      <c r="AL810" s="140"/>
      <c r="AM810" s="140"/>
      <c r="AN810" s="140"/>
      <c r="AO810" s="140"/>
      <c r="AP810" s="140"/>
      <c r="AQ810" s="140"/>
      <c r="AR810" s="140"/>
      <c r="AS810" s="140"/>
      <c r="AT810" s="140"/>
      <c r="AU810" s="140"/>
      <c r="AV810" s="140"/>
      <c r="AW810" s="140"/>
      <c r="AX810" s="140"/>
      <c r="AY810" s="140"/>
      <c r="AZ810" s="140"/>
      <c r="BA810" s="140"/>
      <c r="BB810" s="140"/>
      <c r="BC810" s="140"/>
      <c r="BD810" s="140"/>
      <c r="BE810" s="140"/>
    </row>
    <row r="811" s="119" customFormat="1" ht="24" customHeight="1" outlineLevel="1" spans="1:57">
      <c r="A811" s="141"/>
      <c r="B811" s="14" t="s">
        <v>73</v>
      </c>
      <c r="C811" s="15"/>
      <c r="D811" s="142"/>
      <c r="E811" s="143"/>
      <c r="F811" s="143"/>
      <c r="G811" s="143"/>
      <c r="H811" s="143"/>
      <c r="I811" s="143"/>
      <c r="J811" s="143"/>
      <c r="K811" s="144"/>
      <c r="L811" s="178"/>
      <c r="M811" s="139"/>
      <c r="N811" s="139"/>
      <c r="O811" s="139"/>
      <c r="P811" s="137"/>
      <c r="Q811" s="137"/>
      <c r="R811" s="138"/>
      <c r="S811" s="137"/>
      <c r="T811" s="137"/>
      <c r="U811" s="137"/>
      <c r="V811" s="137"/>
      <c r="W811" s="139"/>
      <c r="X811" s="139"/>
      <c r="Y811" s="139"/>
      <c r="Z811" s="139"/>
      <c r="AA811" s="139"/>
      <c r="AB811" s="139"/>
      <c r="AC811" s="139"/>
      <c r="AD811" s="139"/>
      <c r="AE811" s="139"/>
      <c r="AF811" s="140"/>
      <c r="AG811" s="140"/>
      <c r="AH811" s="140"/>
      <c r="AI811" s="140"/>
      <c r="AJ811" s="140"/>
      <c r="AK811" s="140"/>
      <c r="AL811" s="140"/>
      <c r="AM811" s="140"/>
      <c r="AN811" s="140"/>
      <c r="AO811" s="140"/>
      <c r="AP811" s="140"/>
      <c r="AQ811" s="140"/>
      <c r="AR811" s="140"/>
      <c r="AS811" s="140"/>
      <c r="AT811" s="140"/>
      <c r="AU811" s="140"/>
      <c r="AV811" s="140"/>
      <c r="AW811" s="140"/>
      <c r="AX811" s="140"/>
      <c r="AY811" s="140"/>
      <c r="AZ811" s="140"/>
      <c r="BA811" s="140"/>
      <c r="BB811" s="140"/>
      <c r="BC811" s="140"/>
      <c r="BD811" s="140"/>
      <c r="BE811" s="140"/>
    </row>
    <row r="812" s="119" customFormat="1" ht="60" customHeight="1" outlineLevel="2" spans="1:57">
      <c r="A812" s="162">
        <f t="shared" ref="A812:A817" si="237">1+N(A811)</f>
        <v>1</v>
      </c>
      <c r="B812" s="164" t="s">
        <v>287</v>
      </c>
      <c r="C812" s="15" t="s">
        <v>288</v>
      </c>
      <c r="D812" s="142" t="s">
        <v>63</v>
      </c>
      <c r="E812" s="143">
        <v>58.223</v>
      </c>
      <c r="F812" s="143">
        <f>$F$518</f>
        <v>55</v>
      </c>
      <c r="G812" s="143">
        <f>$G$518</f>
        <v>597.4</v>
      </c>
      <c r="H812" s="143">
        <f>$H$518</f>
        <v>16.2</v>
      </c>
      <c r="I812" s="17">
        <f t="shared" ref="I812:I817" si="238">(F812+G812+H812)*$I$3</f>
        <v>66.86</v>
      </c>
      <c r="J812" s="18">
        <f t="shared" ref="J812:J817" si="239">ROUND(SUM(F812:I812),2)</f>
        <v>735.46</v>
      </c>
      <c r="K812" s="19">
        <f t="shared" ref="K812:K817" si="240">ROUND(J812*E812,2)</f>
        <v>42820.69</v>
      </c>
      <c r="L812" s="178"/>
      <c r="M812" s="139">
        <v>1</v>
      </c>
      <c r="N812" s="139">
        <v>38927.9</v>
      </c>
      <c r="O812" s="139"/>
      <c r="P812" s="37">
        <f t="shared" ref="P812:P817" si="241">Q812+Q812*R812+S812+T812+U812</f>
        <v>668.6</v>
      </c>
      <c r="Q812" s="99">
        <f>$Q$518</f>
        <v>580</v>
      </c>
      <c r="R812" s="163">
        <f>$R$518</f>
        <v>0.03</v>
      </c>
      <c r="S812" s="99">
        <f>$S$518</f>
        <v>55</v>
      </c>
      <c r="T812" s="99">
        <f>$T$518</f>
        <v>15</v>
      </c>
      <c r="U812" s="99">
        <f>$U$518</f>
        <v>1.2</v>
      </c>
      <c r="V812" s="37">
        <f t="shared" ref="V812:V817" si="242">P812*E812</f>
        <v>38927.8978</v>
      </c>
      <c r="W812" s="139"/>
      <c r="X812" s="139"/>
      <c r="Y812" s="139"/>
      <c r="Z812" s="139"/>
      <c r="AA812" s="139"/>
      <c r="AB812" s="139"/>
      <c r="AC812" s="139"/>
      <c r="AD812" s="139"/>
      <c r="AE812" s="139"/>
      <c r="AF812" s="140"/>
      <c r="AG812" s="140"/>
      <c r="AH812" s="140"/>
      <c r="AI812" s="140"/>
      <c r="AJ812" s="140"/>
      <c r="AK812" s="140"/>
      <c r="AL812" s="140"/>
      <c r="AM812" s="140"/>
      <c r="AN812" s="140"/>
      <c r="AO812" s="140"/>
      <c r="AP812" s="140"/>
      <c r="AQ812" s="140"/>
      <c r="AR812" s="140"/>
      <c r="AS812" s="140"/>
      <c r="AT812" s="140"/>
      <c r="AU812" s="140"/>
      <c r="AV812" s="140"/>
      <c r="AW812" s="140"/>
      <c r="AX812" s="140"/>
      <c r="AY812" s="140"/>
      <c r="AZ812" s="140"/>
      <c r="BA812" s="140"/>
      <c r="BB812" s="140"/>
      <c r="BC812" s="140"/>
      <c r="BD812" s="140"/>
      <c r="BE812" s="140"/>
    </row>
    <row r="813" s="119" customFormat="1" ht="60" customHeight="1" outlineLevel="2" spans="1:57">
      <c r="A813" s="162">
        <f t="shared" si="237"/>
        <v>2</v>
      </c>
      <c r="B813" s="14" t="s">
        <v>174</v>
      </c>
      <c r="C813" s="15" t="s">
        <v>262</v>
      </c>
      <c r="D813" s="142" t="s">
        <v>63</v>
      </c>
      <c r="E813" s="143">
        <v>12.585</v>
      </c>
      <c r="F813" s="143">
        <f>$F$463</f>
        <v>110</v>
      </c>
      <c r="G813" s="143">
        <f>$G$463</f>
        <v>87.55</v>
      </c>
      <c r="H813" s="143">
        <f>$H$463</f>
        <v>126.35</v>
      </c>
      <c r="I813" s="17">
        <f t="shared" si="238"/>
        <v>32.39</v>
      </c>
      <c r="J813" s="18">
        <f t="shared" si="239"/>
        <v>356.29</v>
      </c>
      <c r="K813" s="19">
        <f t="shared" si="240"/>
        <v>4483.91</v>
      </c>
      <c r="L813" s="178"/>
      <c r="M813" s="139">
        <v>1</v>
      </c>
      <c r="N813" s="139">
        <v>4076.28</v>
      </c>
      <c r="O813" s="139"/>
      <c r="P813" s="37">
        <f t="shared" si="241"/>
        <v>323.9</v>
      </c>
      <c r="Q813" s="99">
        <f>$Q$463</f>
        <v>85</v>
      </c>
      <c r="R813" s="163">
        <f>$R$463</f>
        <v>0.03</v>
      </c>
      <c r="S813" s="99">
        <f>$S$463</f>
        <v>110</v>
      </c>
      <c r="T813" s="99">
        <f>$T$463</f>
        <v>125.75</v>
      </c>
      <c r="U813" s="99">
        <f>$U$463</f>
        <v>0.6</v>
      </c>
      <c r="V813" s="37">
        <f t="shared" si="242"/>
        <v>4076.2815</v>
      </c>
      <c r="W813" s="139"/>
      <c r="X813" s="139"/>
      <c r="Y813" s="139"/>
      <c r="Z813" s="139"/>
      <c r="AA813" s="139"/>
      <c r="AB813" s="139"/>
      <c r="AC813" s="139"/>
      <c r="AD813" s="139"/>
      <c r="AE813" s="139"/>
      <c r="AF813" s="140"/>
      <c r="AG813" s="140"/>
      <c r="AH813" s="140"/>
      <c r="AI813" s="140"/>
      <c r="AJ813" s="140"/>
      <c r="AK813" s="140"/>
      <c r="AL813" s="140"/>
      <c r="AM813" s="140"/>
      <c r="AN813" s="140"/>
      <c r="AO813" s="140"/>
      <c r="AP813" s="140"/>
      <c r="AQ813" s="140"/>
      <c r="AR813" s="140"/>
      <c r="AS813" s="140"/>
      <c r="AT813" s="140"/>
      <c r="AU813" s="140"/>
      <c r="AV813" s="140"/>
      <c r="AW813" s="140"/>
      <c r="AX813" s="140"/>
      <c r="AY813" s="140"/>
      <c r="AZ813" s="140"/>
      <c r="BA813" s="140"/>
      <c r="BB813" s="140"/>
      <c r="BC813" s="140"/>
      <c r="BD813" s="140"/>
      <c r="BE813" s="140"/>
    </row>
    <row r="814" s="119" customFormat="1" ht="60" customHeight="1" outlineLevel="2" spans="1:57">
      <c r="A814" s="145">
        <f t="shared" si="237"/>
        <v>3</v>
      </c>
      <c r="B814" s="146" t="s">
        <v>383</v>
      </c>
      <c r="C814" s="147" t="s">
        <v>384</v>
      </c>
      <c r="D814" s="148" t="s">
        <v>63</v>
      </c>
      <c r="E814" s="149">
        <v>11.778</v>
      </c>
      <c r="F814" s="149">
        <f>S814*$S$1</f>
        <v>90</v>
      </c>
      <c r="G814" s="149">
        <f>Q814*(1+R814)*$Q$1</f>
        <v>360.5</v>
      </c>
      <c r="H814" s="149">
        <f>(T814+U814)*$T$1</f>
        <v>66.3</v>
      </c>
      <c r="I814" s="150">
        <f t="shared" si="238"/>
        <v>51.68</v>
      </c>
      <c r="J814" s="151">
        <f t="shared" si="239"/>
        <v>568.48</v>
      </c>
      <c r="K814" s="152">
        <f t="shared" si="240"/>
        <v>6695.56</v>
      </c>
      <c r="L814" s="178"/>
      <c r="M814" s="139">
        <v>1</v>
      </c>
      <c r="N814" s="139">
        <v>6086.87</v>
      </c>
      <c r="O814" s="139"/>
      <c r="P814" s="37">
        <f t="shared" si="241"/>
        <v>516.8</v>
      </c>
      <c r="Q814" s="71">
        <v>350</v>
      </c>
      <c r="R814" s="157">
        <v>0.03</v>
      </c>
      <c r="S814" s="71">
        <v>90</v>
      </c>
      <c r="T814" s="71">
        <v>65.8</v>
      </c>
      <c r="U814" s="71">
        <v>0.5</v>
      </c>
      <c r="V814" s="37">
        <f t="shared" si="242"/>
        <v>6086.8704</v>
      </c>
      <c r="W814" s="139"/>
      <c r="X814" s="139"/>
      <c r="Y814" s="139"/>
      <c r="Z814" s="139"/>
      <c r="AA814" s="139"/>
      <c r="AB814" s="139"/>
      <c r="AC814" s="139"/>
      <c r="AD814" s="139"/>
      <c r="AE814" s="139"/>
      <c r="AF814" s="140"/>
      <c r="AG814" s="140"/>
      <c r="AH814" s="140"/>
      <c r="AI814" s="140"/>
      <c r="AJ814" s="140"/>
      <c r="AK814" s="140"/>
      <c r="AL814" s="140"/>
      <c r="AM814" s="140"/>
      <c r="AN814" s="140"/>
      <c r="AO814" s="140"/>
      <c r="AP814" s="140"/>
      <c r="AQ814" s="140"/>
      <c r="AR814" s="140"/>
      <c r="AS814" s="140"/>
      <c r="AT814" s="140"/>
      <c r="AU814" s="140"/>
      <c r="AV814" s="140"/>
      <c r="AW814" s="140"/>
      <c r="AX814" s="140"/>
      <c r="AY814" s="140"/>
      <c r="AZ814" s="140"/>
      <c r="BA814" s="140"/>
      <c r="BB814" s="140"/>
      <c r="BC814" s="140"/>
      <c r="BD814" s="140"/>
      <c r="BE814" s="140"/>
    </row>
    <row r="815" s="119" customFormat="1" ht="60" customHeight="1" outlineLevel="2" spans="1:57">
      <c r="A815" s="162">
        <f t="shared" si="237"/>
        <v>4</v>
      </c>
      <c r="B815" s="14" t="s">
        <v>191</v>
      </c>
      <c r="C815" s="15" t="s">
        <v>291</v>
      </c>
      <c r="D815" s="142" t="s">
        <v>63</v>
      </c>
      <c r="E815" s="143">
        <v>19.721</v>
      </c>
      <c r="F815" s="143">
        <f>$F$520</f>
        <v>89</v>
      </c>
      <c r="G815" s="143">
        <f>$G$520</f>
        <v>55</v>
      </c>
      <c r="H815" s="143">
        <f>$H$520</f>
        <v>45.5</v>
      </c>
      <c r="I815" s="17">
        <f t="shared" si="238"/>
        <v>18.95</v>
      </c>
      <c r="J815" s="18">
        <f t="shared" si="239"/>
        <v>208.45</v>
      </c>
      <c r="K815" s="19">
        <f t="shared" si="240"/>
        <v>4110.84</v>
      </c>
      <c r="L815" s="178"/>
      <c r="M815" s="139">
        <v>1</v>
      </c>
      <c r="N815" s="139">
        <v>3737.13</v>
      </c>
      <c r="O815" s="139"/>
      <c r="P815" s="37">
        <f t="shared" si="241"/>
        <v>189.5</v>
      </c>
      <c r="Q815" s="99">
        <f>$Q$520</f>
        <v>55</v>
      </c>
      <c r="R815" s="163">
        <f>$R$520</f>
        <v>0</v>
      </c>
      <c r="S815" s="99">
        <f>$S$520</f>
        <v>89</v>
      </c>
      <c r="T815" s="99">
        <f>$T$520</f>
        <v>45</v>
      </c>
      <c r="U815" s="99">
        <f>$U$520</f>
        <v>0.5</v>
      </c>
      <c r="V815" s="37">
        <f t="shared" si="242"/>
        <v>3737.1295</v>
      </c>
      <c r="W815" s="139"/>
      <c r="X815" s="139"/>
      <c r="Y815" s="139"/>
      <c r="Z815" s="139"/>
      <c r="AA815" s="139"/>
      <c r="AB815" s="139"/>
      <c r="AC815" s="139"/>
      <c r="AD815" s="139"/>
      <c r="AE815" s="139"/>
      <c r="AF815" s="140"/>
      <c r="AG815" s="140"/>
      <c r="AH815" s="140"/>
      <c r="AI815" s="140"/>
      <c r="AJ815" s="140"/>
      <c r="AK815" s="140"/>
      <c r="AL815" s="140"/>
      <c r="AM815" s="140"/>
      <c r="AN815" s="140"/>
      <c r="AO815" s="140"/>
      <c r="AP815" s="140"/>
      <c r="AQ815" s="140"/>
      <c r="AR815" s="140"/>
      <c r="AS815" s="140"/>
      <c r="AT815" s="140"/>
      <c r="AU815" s="140"/>
      <c r="AV815" s="140"/>
      <c r="AW815" s="140"/>
      <c r="AX815" s="140"/>
      <c r="AY815" s="140"/>
      <c r="AZ815" s="140"/>
      <c r="BA815" s="140"/>
      <c r="BB815" s="140"/>
      <c r="BC815" s="140"/>
      <c r="BD815" s="140"/>
      <c r="BE815" s="140"/>
    </row>
    <row r="816" s="119" customFormat="1" ht="60" customHeight="1" outlineLevel="2" spans="1:57">
      <c r="A816" s="162">
        <f t="shared" si="237"/>
        <v>5</v>
      </c>
      <c r="B816" s="14" t="s">
        <v>91</v>
      </c>
      <c r="C816" s="15" t="s">
        <v>92</v>
      </c>
      <c r="D816" s="142" t="s">
        <v>70</v>
      </c>
      <c r="E816" s="143">
        <v>27.04</v>
      </c>
      <c r="F816" s="143">
        <f>$F$22</f>
        <v>12</v>
      </c>
      <c r="G816" s="143">
        <f>$G$22</f>
        <v>25.75</v>
      </c>
      <c r="H816" s="143">
        <f>$H$22</f>
        <v>3.8</v>
      </c>
      <c r="I816" s="17">
        <f t="shared" si="238"/>
        <v>4.155</v>
      </c>
      <c r="J816" s="18">
        <f t="shared" si="239"/>
        <v>45.71</v>
      </c>
      <c r="K816" s="19">
        <f t="shared" si="240"/>
        <v>1236</v>
      </c>
      <c r="L816" s="178"/>
      <c r="M816" s="139">
        <v>1</v>
      </c>
      <c r="N816" s="139">
        <v>1123.51</v>
      </c>
      <c r="O816" s="139"/>
      <c r="P816" s="37">
        <f t="shared" si="241"/>
        <v>41.55</v>
      </c>
      <c r="Q816" s="99">
        <f>$Q$22</f>
        <v>25</v>
      </c>
      <c r="R816" s="163">
        <f>$R$22</f>
        <v>0.03</v>
      </c>
      <c r="S816" s="99">
        <f>$S$22</f>
        <v>12</v>
      </c>
      <c r="T816" s="99">
        <f>$T$22</f>
        <v>3.5</v>
      </c>
      <c r="U816" s="99">
        <f>$U$22</f>
        <v>0.3</v>
      </c>
      <c r="V816" s="37">
        <f t="shared" si="242"/>
        <v>1123.512</v>
      </c>
      <c r="W816" s="139"/>
      <c r="X816" s="139"/>
      <c r="Y816" s="139"/>
      <c r="Z816" s="139"/>
      <c r="AA816" s="139"/>
      <c r="AB816" s="139"/>
      <c r="AC816" s="139"/>
      <c r="AD816" s="139"/>
      <c r="AE816" s="139"/>
      <c r="AF816" s="140"/>
      <c r="AG816" s="140"/>
      <c r="AH816" s="140"/>
      <c r="AI816" s="140"/>
      <c r="AJ816" s="140"/>
      <c r="AK816" s="140"/>
      <c r="AL816" s="140"/>
      <c r="AM816" s="140"/>
      <c r="AN816" s="140"/>
      <c r="AO816" s="140"/>
      <c r="AP816" s="140"/>
      <c r="AQ816" s="140"/>
      <c r="AR816" s="140"/>
      <c r="AS816" s="140"/>
      <c r="AT816" s="140"/>
      <c r="AU816" s="140"/>
      <c r="AV816" s="140"/>
      <c r="AW816" s="140"/>
      <c r="AX816" s="140"/>
      <c r="AY816" s="140"/>
      <c r="AZ816" s="140"/>
      <c r="BA816" s="140"/>
      <c r="BB816" s="140"/>
      <c r="BC816" s="140"/>
      <c r="BD816" s="140"/>
      <c r="BE816" s="140"/>
    </row>
    <row r="817" s="119" customFormat="1" ht="60" customHeight="1" outlineLevel="2" spans="1:57">
      <c r="A817" s="162">
        <f t="shared" si="237"/>
        <v>6</v>
      </c>
      <c r="B817" s="14" t="s">
        <v>239</v>
      </c>
      <c r="C817" s="15" t="s">
        <v>240</v>
      </c>
      <c r="D817" s="165" t="s">
        <v>63</v>
      </c>
      <c r="E817" s="143">
        <f>(7.26+7.66+7.76)*0.095</f>
        <v>2.1546</v>
      </c>
      <c r="F817" s="143">
        <f>$F$356</f>
        <v>110</v>
      </c>
      <c r="G817" s="143">
        <f>$G$356</f>
        <v>454.5</v>
      </c>
      <c r="H817" s="143">
        <f>$H$356</f>
        <v>55.2</v>
      </c>
      <c r="I817" s="17">
        <f t="shared" si="238"/>
        <v>61.97</v>
      </c>
      <c r="J817" s="18">
        <f t="shared" si="239"/>
        <v>681.67</v>
      </c>
      <c r="K817" s="19">
        <f t="shared" si="240"/>
        <v>1468.73</v>
      </c>
      <c r="L817" s="178"/>
      <c r="M817" s="139">
        <v>1</v>
      </c>
      <c r="N817" s="139">
        <v>1335.21</v>
      </c>
      <c r="O817" s="139"/>
      <c r="P817" s="37">
        <f t="shared" si="241"/>
        <v>619.7</v>
      </c>
      <c r="Q817" s="99">
        <f>$Q$356</f>
        <v>450</v>
      </c>
      <c r="R817" s="163">
        <f>$R$356</f>
        <v>0.01</v>
      </c>
      <c r="S817" s="99">
        <f>$S$356</f>
        <v>110</v>
      </c>
      <c r="T817" s="99">
        <f>$T$356</f>
        <v>54</v>
      </c>
      <c r="U817" s="99">
        <f>$U$356</f>
        <v>1.2</v>
      </c>
      <c r="V817" s="37">
        <f t="shared" si="242"/>
        <v>1335.20562</v>
      </c>
      <c r="W817" s="139"/>
      <c r="X817" s="139"/>
      <c r="Y817" s="139"/>
      <c r="Z817" s="139"/>
      <c r="AA817" s="139"/>
      <c r="AB817" s="139"/>
      <c r="AC817" s="139"/>
      <c r="AD817" s="139"/>
      <c r="AE817" s="139"/>
      <c r="AF817" s="140"/>
      <c r="AG817" s="140"/>
      <c r="AH817" s="140"/>
      <c r="AI817" s="140"/>
      <c r="AJ817" s="140"/>
      <c r="AK817" s="140"/>
      <c r="AL817" s="140"/>
      <c r="AM817" s="140"/>
      <c r="AN817" s="140"/>
      <c r="AO817" s="140"/>
      <c r="AP817" s="140"/>
      <c r="AQ817" s="140"/>
      <c r="AR817" s="140"/>
      <c r="AS817" s="140"/>
      <c r="AT817" s="140"/>
      <c r="AU817" s="140"/>
      <c r="AV817" s="140"/>
      <c r="AW817" s="140"/>
      <c r="AX817" s="140"/>
      <c r="AY817" s="140"/>
      <c r="AZ817" s="140"/>
      <c r="BA817" s="140"/>
      <c r="BB817" s="140"/>
      <c r="BC817" s="140"/>
      <c r="BD817" s="140"/>
      <c r="BE817" s="140"/>
    </row>
    <row r="818" s="119" customFormat="1" ht="24" customHeight="1" outlineLevel="1" spans="1:57">
      <c r="A818" s="141"/>
      <c r="B818" s="14" t="s">
        <v>101</v>
      </c>
      <c r="C818" s="15"/>
      <c r="D818" s="142"/>
      <c r="E818" s="143"/>
      <c r="F818" s="143"/>
      <c r="G818" s="143"/>
      <c r="H818" s="143"/>
      <c r="I818" s="143"/>
      <c r="J818" s="143"/>
      <c r="K818" s="144"/>
      <c r="L818" s="178"/>
      <c r="M818" s="139"/>
      <c r="N818" s="139"/>
      <c r="O818" s="139"/>
      <c r="P818" s="137"/>
      <c r="Q818" s="137"/>
      <c r="R818" s="138"/>
      <c r="S818" s="137"/>
      <c r="T818" s="137"/>
      <c r="U818" s="137"/>
      <c r="V818" s="137"/>
      <c r="W818" s="139"/>
      <c r="X818" s="139"/>
      <c r="Y818" s="139"/>
      <c r="Z818" s="139"/>
      <c r="AA818" s="139"/>
      <c r="AB818" s="139"/>
      <c r="AC818" s="139"/>
      <c r="AD818" s="139"/>
      <c r="AE818" s="139"/>
      <c r="AF818" s="140"/>
      <c r="AG818" s="140"/>
      <c r="AH818" s="140"/>
      <c r="AI818" s="140"/>
      <c r="AJ818" s="140"/>
      <c r="AK818" s="140"/>
      <c r="AL818" s="140"/>
      <c r="AM818" s="140"/>
      <c r="AN818" s="140"/>
      <c r="AO818" s="140"/>
      <c r="AP818" s="140"/>
      <c r="AQ818" s="140"/>
      <c r="AR818" s="140"/>
      <c r="AS818" s="140"/>
      <c r="AT818" s="140"/>
      <c r="AU818" s="140"/>
      <c r="AV818" s="140"/>
      <c r="AW818" s="140"/>
      <c r="AX818" s="140"/>
      <c r="AY818" s="140"/>
      <c r="AZ818" s="140"/>
      <c r="BA818" s="140"/>
      <c r="BB818" s="140"/>
      <c r="BC818" s="140"/>
      <c r="BD818" s="140"/>
      <c r="BE818" s="140"/>
    </row>
    <row r="819" s="119" customFormat="1" ht="96" customHeight="1" outlineLevel="2" spans="1:57">
      <c r="A819" s="162">
        <f t="shared" ref="A819:A825" si="243">1+N(A818)</f>
        <v>1</v>
      </c>
      <c r="B819" s="14" t="s">
        <v>102</v>
      </c>
      <c r="C819" s="167" t="s">
        <v>103</v>
      </c>
      <c r="D819" s="142" t="s">
        <v>63</v>
      </c>
      <c r="E819" s="143">
        <f>56.76-3.3</f>
        <v>53.46</v>
      </c>
      <c r="F819" s="143">
        <f>$F$28</f>
        <v>70</v>
      </c>
      <c r="G819" s="143">
        <f>$G$28</f>
        <v>0</v>
      </c>
      <c r="H819" s="143">
        <f>$H$28</f>
        <v>66.711</v>
      </c>
      <c r="I819" s="17">
        <f t="shared" ref="I819:I825" si="244">(F819+G819+H819)*$I$3</f>
        <v>13.6711</v>
      </c>
      <c r="J819" s="18">
        <f t="shared" ref="J819:J825" si="245">ROUND(SUM(F819:I819),2)</f>
        <v>150.38</v>
      </c>
      <c r="K819" s="19">
        <f t="shared" ref="K819:K825" si="246">ROUND(J819*E819,2)</f>
        <v>8039.31</v>
      </c>
      <c r="L819" s="178"/>
      <c r="M819" s="139">
        <v>1</v>
      </c>
      <c r="N819" s="139">
        <v>7308.52</v>
      </c>
      <c r="O819" s="139"/>
      <c r="P819" s="37">
        <f t="shared" ref="P819:P825" si="247">Q819+Q819*R819+S819+T819+U819</f>
        <v>136.711</v>
      </c>
      <c r="Q819" s="99">
        <f>$Q$28</f>
        <v>0</v>
      </c>
      <c r="R819" s="163">
        <f>$R$28</f>
        <v>0.01</v>
      </c>
      <c r="S819" s="99">
        <f>$S$28</f>
        <v>70</v>
      </c>
      <c r="T819" s="99">
        <f>$T$28</f>
        <v>64.711</v>
      </c>
      <c r="U819" s="99">
        <f>$U$28</f>
        <v>2</v>
      </c>
      <c r="V819" s="37">
        <f t="shared" ref="V819:V825" si="248">P819*E819</f>
        <v>7308.57006</v>
      </c>
      <c r="W819" s="139"/>
      <c r="X819" s="139"/>
      <c r="Y819" s="139"/>
      <c r="Z819" s="139"/>
      <c r="AA819" s="139"/>
      <c r="AB819" s="139"/>
      <c r="AC819" s="139"/>
      <c r="AD819" s="139"/>
      <c r="AE819" s="139"/>
      <c r="AF819" s="140"/>
      <c r="AG819" s="140"/>
      <c r="AH819" s="140"/>
      <c r="AI819" s="140"/>
      <c r="AJ819" s="140"/>
      <c r="AK819" s="140"/>
      <c r="AL819" s="140"/>
      <c r="AM819" s="140"/>
      <c r="AN819" s="140"/>
      <c r="AO819" s="140"/>
      <c r="AP819" s="140"/>
      <c r="AQ819" s="140"/>
      <c r="AR819" s="140"/>
      <c r="AS819" s="140"/>
      <c r="AT819" s="140"/>
      <c r="AU819" s="140"/>
      <c r="AV819" s="140"/>
      <c r="AW819" s="140"/>
      <c r="AX819" s="140"/>
      <c r="AY819" s="140"/>
      <c r="AZ819" s="140"/>
      <c r="BA819" s="140"/>
      <c r="BB819" s="140"/>
      <c r="BC819" s="140"/>
      <c r="BD819" s="140"/>
      <c r="BE819" s="140"/>
    </row>
    <row r="820" s="119" customFormat="1" ht="72" customHeight="1" outlineLevel="2" spans="1:57">
      <c r="A820" s="145">
        <f t="shared" si="243"/>
        <v>2</v>
      </c>
      <c r="B820" s="146" t="s">
        <v>385</v>
      </c>
      <c r="C820" s="161" t="s">
        <v>386</v>
      </c>
      <c r="D820" s="148" t="s">
        <v>63</v>
      </c>
      <c r="E820" s="149">
        <v>3.3</v>
      </c>
      <c r="F820" s="149">
        <f>S820*$S$1</f>
        <v>110</v>
      </c>
      <c r="G820" s="149">
        <f>Q820*(1+R820)*$Q$1</f>
        <v>454.5</v>
      </c>
      <c r="H820" s="149">
        <f>(T820+U820)*$T$1</f>
        <v>40.997</v>
      </c>
      <c r="I820" s="150">
        <f t="shared" si="244"/>
        <v>60.5497</v>
      </c>
      <c r="J820" s="151">
        <f t="shared" si="245"/>
        <v>666.05</v>
      </c>
      <c r="K820" s="152">
        <f t="shared" si="246"/>
        <v>2197.97</v>
      </c>
      <c r="L820" s="178"/>
      <c r="M820" s="139">
        <v>1</v>
      </c>
      <c r="N820" s="139">
        <v>1998.15</v>
      </c>
      <c r="O820" s="139"/>
      <c r="P820" s="37">
        <f t="shared" si="247"/>
        <v>605.497</v>
      </c>
      <c r="Q820" s="71">
        <v>450</v>
      </c>
      <c r="R820" s="157">
        <v>0.01</v>
      </c>
      <c r="S820" s="71">
        <v>110</v>
      </c>
      <c r="T820" s="71">
        <v>38.997</v>
      </c>
      <c r="U820" s="71">
        <v>2</v>
      </c>
      <c r="V820" s="37">
        <f t="shared" si="248"/>
        <v>1998.1401</v>
      </c>
      <c r="W820" s="139"/>
      <c r="X820" s="139"/>
      <c r="Y820" s="139"/>
      <c r="Z820" s="139"/>
      <c r="AA820" s="139"/>
      <c r="AB820" s="139"/>
      <c r="AC820" s="139"/>
      <c r="AD820" s="139"/>
      <c r="AE820" s="139"/>
      <c r="AF820" s="140"/>
      <c r="AG820" s="140"/>
      <c r="AH820" s="140"/>
      <c r="AI820" s="140"/>
      <c r="AJ820" s="140"/>
      <c r="AK820" s="140"/>
      <c r="AL820" s="140"/>
      <c r="AM820" s="140"/>
      <c r="AN820" s="140"/>
      <c r="AO820" s="140"/>
      <c r="AP820" s="140"/>
      <c r="AQ820" s="140"/>
      <c r="AR820" s="140"/>
      <c r="AS820" s="140"/>
      <c r="AT820" s="140"/>
      <c r="AU820" s="140"/>
      <c r="AV820" s="140"/>
      <c r="AW820" s="140"/>
      <c r="AX820" s="140"/>
      <c r="AY820" s="140"/>
      <c r="AZ820" s="140"/>
      <c r="BA820" s="140"/>
      <c r="BB820" s="140"/>
      <c r="BC820" s="140"/>
      <c r="BD820" s="140"/>
      <c r="BE820" s="140"/>
    </row>
    <row r="821" s="119" customFormat="1" ht="72" customHeight="1" outlineLevel="2" spans="1:57">
      <c r="A821" s="162">
        <f t="shared" si="243"/>
        <v>3</v>
      </c>
      <c r="B821" s="14" t="s">
        <v>104</v>
      </c>
      <c r="C821" s="167" t="s">
        <v>105</v>
      </c>
      <c r="D821" s="142" t="s">
        <v>70</v>
      </c>
      <c r="E821" s="143">
        <v>19.08</v>
      </c>
      <c r="F821" s="143">
        <f>$F$29</f>
        <v>50</v>
      </c>
      <c r="G821" s="143">
        <f>$G$29</f>
        <v>0</v>
      </c>
      <c r="H821" s="143">
        <f>$H$29</f>
        <v>22.0941</v>
      </c>
      <c r="I821" s="17">
        <f t="shared" si="244"/>
        <v>7.20941</v>
      </c>
      <c r="J821" s="18">
        <f t="shared" si="245"/>
        <v>79.3</v>
      </c>
      <c r="K821" s="19">
        <f t="shared" si="246"/>
        <v>1513.04</v>
      </c>
      <c r="L821" s="178"/>
      <c r="M821" s="139">
        <v>1</v>
      </c>
      <c r="N821" s="139">
        <v>1375.48</v>
      </c>
      <c r="O821" s="139"/>
      <c r="P821" s="37">
        <f t="shared" si="247"/>
        <v>72.0941</v>
      </c>
      <c r="Q821" s="99">
        <f>$Q$29</f>
        <v>0</v>
      </c>
      <c r="R821" s="163">
        <f>$R$29</f>
        <v>0.01</v>
      </c>
      <c r="S821" s="99">
        <f>$S$29</f>
        <v>50</v>
      </c>
      <c r="T821" s="99">
        <f>$T$29</f>
        <v>22.0941</v>
      </c>
      <c r="U821" s="99">
        <f>$U$29</f>
        <v>0</v>
      </c>
      <c r="V821" s="37">
        <f t="shared" si="248"/>
        <v>1375.555428</v>
      </c>
      <c r="W821" s="139"/>
      <c r="X821" s="139"/>
      <c r="Y821" s="139"/>
      <c r="Z821" s="139"/>
      <c r="AA821" s="139"/>
      <c r="AB821" s="139"/>
      <c r="AC821" s="139"/>
      <c r="AD821" s="139"/>
      <c r="AE821" s="139"/>
      <c r="AF821" s="140"/>
      <c r="AG821" s="140"/>
      <c r="AH821" s="140"/>
      <c r="AI821" s="140"/>
      <c r="AJ821" s="140"/>
      <c r="AK821" s="140"/>
      <c r="AL821" s="140"/>
      <c r="AM821" s="140"/>
      <c r="AN821" s="140"/>
      <c r="AO821" s="140"/>
      <c r="AP821" s="140"/>
      <c r="AQ821" s="140"/>
      <c r="AR821" s="140"/>
      <c r="AS821" s="140"/>
      <c r="AT821" s="140"/>
      <c r="AU821" s="140"/>
      <c r="AV821" s="140"/>
      <c r="AW821" s="140"/>
      <c r="AX821" s="140"/>
      <c r="AY821" s="140"/>
      <c r="AZ821" s="140"/>
      <c r="BA821" s="140"/>
      <c r="BB821" s="140"/>
      <c r="BC821" s="140"/>
      <c r="BD821" s="140"/>
      <c r="BE821" s="140"/>
    </row>
    <row r="822" s="119" customFormat="1" ht="72" customHeight="1" outlineLevel="2" spans="1:57">
      <c r="A822" s="162">
        <f t="shared" si="243"/>
        <v>4</v>
      </c>
      <c r="B822" s="14" t="s">
        <v>106</v>
      </c>
      <c r="C822" s="15" t="s">
        <v>107</v>
      </c>
      <c r="D822" s="142" t="s">
        <v>70</v>
      </c>
      <c r="E822" s="143">
        <v>19.08</v>
      </c>
      <c r="F822" s="143">
        <f>$F$30</f>
        <v>18</v>
      </c>
      <c r="G822" s="143">
        <f>$G$30</f>
        <v>163.255</v>
      </c>
      <c r="H822" s="143">
        <f>$H$30</f>
        <v>3.8</v>
      </c>
      <c r="I822" s="17">
        <f t="shared" si="244"/>
        <v>18.5055</v>
      </c>
      <c r="J822" s="18">
        <f t="shared" si="245"/>
        <v>203.56</v>
      </c>
      <c r="K822" s="19">
        <f t="shared" si="246"/>
        <v>3883.92</v>
      </c>
      <c r="L822" s="178"/>
      <c r="M822" s="139">
        <v>1</v>
      </c>
      <c r="N822" s="139">
        <v>3530.94</v>
      </c>
      <c r="O822" s="139"/>
      <c r="P822" s="37">
        <f t="shared" si="247"/>
        <v>185.055</v>
      </c>
      <c r="Q822" s="99">
        <f>$Q$30</f>
        <v>158.5</v>
      </c>
      <c r="R822" s="163">
        <f>$R$30</f>
        <v>0.03</v>
      </c>
      <c r="S822" s="99">
        <f>$S$30</f>
        <v>18</v>
      </c>
      <c r="T822" s="99">
        <f>$T$30</f>
        <v>3.5</v>
      </c>
      <c r="U822" s="99">
        <f>$U$30</f>
        <v>0.3</v>
      </c>
      <c r="V822" s="37">
        <f t="shared" si="248"/>
        <v>3530.8494</v>
      </c>
      <c r="W822" s="139"/>
      <c r="X822" s="139"/>
      <c r="Y822" s="139"/>
      <c r="Z822" s="139"/>
      <c r="AA822" s="139"/>
      <c r="AB822" s="139"/>
      <c r="AC822" s="139"/>
      <c r="AD822" s="139"/>
      <c r="AE822" s="139"/>
      <c r="AF822" s="140"/>
      <c r="AG822" s="140"/>
      <c r="AH822" s="140"/>
      <c r="AI822" s="140"/>
      <c r="AJ822" s="140"/>
      <c r="AK822" s="140"/>
      <c r="AL822" s="140"/>
      <c r="AM822" s="140"/>
      <c r="AN822" s="140"/>
      <c r="AO822" s="140"/>
      <c r="AP822" s="140"/>
      <c r="AQ822" s="140"/>
      <c r="AR822" s="140"/>
      <c r="AS822" s="140"/>
      <c r="AT822" s="140"/>
      <c r="AU822" s="140"/>
      <c r="AV822" s="140"/>
      <c r="AW822" s="140"/>
      <c r="AX822" s="140"/>
      <c r="AY822" s="140"/>
      <c r="AZ822" s="140"/>
      <c r="BA822" s="140"/>
      <c r="BB822" s="140"/>
      <c r="BC822" s="140"/>
      <c r="BD822" s="140"/>
      <c r="BE822" s="140"/>
    </row>
    <row r="823" s="119" customFormat="1" ht="72" customHeight="1" outlineLevel="2" spans="1:57">
      <c r="A823" s="162">
        <f t="shared" si="243"/>
        <v>5</v>
      </c>
      <c r="B823" s="14" t="s">
        <v>268</v>
      </c>
      <c r="C823" s="15" t="s">
        <v>269</v>
      </c>
      <c r="D823" s="142" t="s">
        <v>70</v>
      </c>
      <c r="E823" s="143">
        <v>6.95</v>
      </c>
      <c r="F823" s="143">
        <f>$F$472</f>
        <v>55</v>
      </c>
      <c r="G823" s="143">
        <f>$G$472</f>
        <v>0</v>
      </c>
      <c r="H823" s="143">
        <f>$H$472</f>
        <v>29.6688</v>
      </c>
      <c r="I823" s="17">
        <f t="shared" si="244"/>
        <v>8.46688</v>
      </c>
      <c r="J823" s="18">
        <f t="shared" si="245"/>
        <v>93.14</v>
      </c>
      <c r="K823" s="19">
        <f t="shared" si="246"/>
        <v>647.32</v>
      </c>
      <c r="L823" s="178"/>
      <c r="M823" s="139">
        <v>1</v>
      </c>
      <c r="N823" s="139">
        <v>588.46</v>
      </c>
      <c r="O823" s="139"/>
      <c r="P823" s="37">
        <f t="shared" si="247"/>
        <v>84.6688</v>
      </c>
      <c r="Q823" s="99">
        <f>$Q$472</f>
        <v>0</v>
      </c>
      <c r="R823" s="163">
        <f>$R$472</f>
        <v>0.01</v>
      </c>
      <c r="S823" s="99">
        <f>$S$472</f>
        <v>55</v>
      </c>
      <c r="T823" s="99">
        <f>$T$472</f>
        <v>29.6688</v>
      </c>
      <c r="U823" s="99">
        <f>$U$472</f>
        <v>0</v>
      </c>
      <c r="V823" s="37">
        <f t="shared" si="248"/>
        <v>588.44816</v>
      </c>
      <c r="W823" s="139"/>
      <c r="X823" s="139"/>
      <c r="Y823" s="139"/>
      <c r="Z823" s="139"/>
      <c r="AA823" s="139"/>
      <c r="AB823" s="139"/>
      <c r="AC823" s="139"/>
      <c r="AD823" s="139"/>
      <c r="AE823" s="139"/>
      <c r="AF823" s="140"/>
      <c r="AG823" s="140"/>
      <c r="AH823" s="140"/>
      <c r="AI823" s="140"/>
      <c r="AJ823" s="140"/>
      <c r="AK823" s="140"/>
      <c r="AL823" s="140"/>
      <c r="AM823" s="140"/>
      <c r="AN823" s="140"/>
      <c r="AO823" s="140"/>
      <c r="AP823" s="140"/>
      <c r="AQ823" s="140"/>
      <c r="AR823" s="140"/>
      <c r="AS823" s="140"/>
      <c r="AT823" s="140"/>
      <c r="AU823" s="140"/>
      <c r="AV823" s="140"/>
      <c r="AW823" s="140"/>
      <c r="AX823" s="140"/>
      <c r="AY823" s="140"/>
      <c r="AZ823" s="140"/>
      <c r="BA823" s="140"/>
      <c r="BB823" s="140"/>
      <c r="BC823" s="140"/>
      <c r="BD823" s="140"/>
      <c r="BE823" s="140"/>
    </row>
    <row r="824" s="119" customFormat="1" ht="72" customHeight="1" outlineLevel="2" spans="1:57">
      <c r="A824" s="162">
        <f t="shared" si="243"/>
        <v>6</v>
      </c>
      <c r="B824" s="14" t="s">
        <v>108</v>
      </c>
      <c r="C824" s="15" t="s">
        <v>109</v>
      </c>
      <c r="D824" s="142" t="s">
        <v>70</v>
      </c>
      <c r="E824" s="143">
        <v>4.1</v>
      </c>
      <c r="F824" s="143">
        <f>$F$31</f>
        <v>30</v>
      </c>
      <c r="G824" s="143">
        <f>$G$31</f>
        <v>65.6625</v>
      </c>
      <c r="H824" s="143">
        <f>$H$31</f>
        <v>2.7</v>
      </c>
      <c r="I824" s="17">
        <f t="shared" si="244"/>
        <v>9.83625</v>
      </c>
      <c r="J824" s="18">
        <f t="shared" si="245"/>
        <v>108.2</v>
      </c>
      <c r="K824" s="19">
        <f t="shared" si="246"/>
        <v>443.62</v>
      </c>
      <c r="L824" s="178"/>
      <c r="M824" s="139">
        <v>1</v>
      </c>
      <c r="N824" s="139">
        <v>403.28</v>
      </c>
      <c r="O824" s="139"/>
      <c r="P824" s="37">
        <f t="shared" si="247"/>
        <v>98.3625</v>
      </c>
      <c r="Q824" s="99">
        <f>$Q$31</f>
        <v>63.75</v>
      </c>
      <c r="R824" s="163">
        <f>$R$31</f>
        <v>0.03</v>
      </c>
      <c r="S824" s="99">
        <f>$S$31</f>
        <v>30</v>
      </c>
      <c r="T824" s="99">
        <f>$T$31</f>
        <v>2.5</v>
      </c>
      <c r="U824" s="99">
        <f>$U$31</f>
        <v>0.2</v>
      </c>
      <c r="V824" s="37">
        <f t="shared" si="248"/>
        <v>403.28625</v>
      </c>
      <c r="W824" s="139"/>
      <c r="X824" s="139"/>
      <c r="Y824" s="139"/>
      <c r="Z824" s="139"/>
      <c r="AA824" s="139"/>
      <c r="AB824" s="139"/>
      <c r="AC824" s="139"/>
      <c r="AD824" s="139"/>
      <c r="AE824" s="139"/>
      <c r="AF824" s="140"/>
      <c r="AG824" s="140"/>
      <c r="AH824" s="140"/>
      <c r="AI824" s="140"/>
      <c r="AJ824" s="140"/>
      <c r="AK824" s="140"/>
      <c r="AL824" s="140"/>
      <c r="AM824" s="140"/>
      <c r="AN824" s="140"/>
      <c r="AO824" s="140"/>
      <c r="AP824" s="140"/>
      <c r="AQ824" s="140"/>
      <c r="AR824" s="140"/>
      <c r="AS824" s="140"/>
      <c r="AT824" s="140"/>
      <c r="AU824" s="140"/>
      <c r="AV824" s="140"/>
      <c r="AW824" s="140"/>
      <c r="AX824" s="140"/>
      <c r="AY824" s="140"/>
      <c r="AZ824" s="140"/>
      <c r="BA824" s="140"/>
      <c r="BB824" s="140"/>
      <c r="BC824" s="140"/>
      <c r="BD824" s="140"/>
      <c r="BE824" s="140"/>
    </row>
    <row r="825" s="119" customFormat="1" ht="72" customHeight="1" outlineLevel="2" spans="1:57">
      <c r="A825" s="162">
        <f t="shared" si="243"/>
        <v>7</v>
      </c>
      <c r="B825" s="14" t="s">
        <v>110</v>
      </c>
      <c r="C825" s="15" t="s">
        <v>111</v>
      </c>
      <c r="D825" s="142" t="s">
        <v>63</v>
      </c>
      <c r="E825" s="143">
        <f>53.46+19.08*0.3+6.95*0.4</f>
        <v>61.964</v>
      </c>
      <c r="F825" s="143">
        <f>$F$32</f>
        <v>45</v>
      </c>
      <c r="G825" s="143">
        <f>$G$32</f>
        <v>85.5</v>
      </c>
      <c r="H825" s="143">
        <f>$H$32</f>
        <v>7.3</v>
      </c>
      <c r="I825" s="17">
        <f t="shared" si="244"/>
        <v>13.78</v>
      </c>
      <c r="J825" s="18">
        <f t="shared" si="245"/>
        <v>151.58</v>
      </c>
      <c r="K825" s="19">
        <f t="shared" si="246"/>
        <v>9392.5</v>
      </c>
      <c r="L825" s="178"/>
      <c r="M825" s="139">
        <v>1</v>
      </c>
      <c r="N825" s="139">
        <v>8538.64</v>
      </c>
      <c r="O825" s="139"/>
      <c r="P825" s="37">
        <f t="shared" si="247"/>
        <v>137.8</v>
      </c>
      <c r="Q825" s="99">
        <f>$Q$32</f>
        <v>85.5</v>
      </c>
      <c r="R825" s="163">
        <f>$R$32</f>
        <v>0</v>
      </c>
      <c r="S825" s="99">
        <f>$S$32</f>
        <v>45</v>
      </c>
      <c r="T825" s="99">
        <f>$T$32</f>
        <v>6.5</v>
      </c>
      <c r="U825" s="99">
        <f>$U$32</f>
        <v>0.8</v>
      </c>
      <c r="V825" s="37">
        <f t="shared" si="248"/>
        <v>8538.6392</v>
      </c>
      <c r="W825" s="139"/>
      <c r="X825" s="139"/>
      <c r="Y825" s="139"/>
      <c r="Z825" s="139"/>
      <c r="AA825" s="139"/>
      <c r="AB825" s="139"/>
      <c r="AC825" s="139"/>
      <c r="AD825" s="139"/>
      <c r="AE825" s="139"/>
      <c r="AF825" s="140"/>
      <c r="AG825" s="140"/>
      <c r="AH825" s="140"/>
      <c r="AI825" s="140"/>
      <c r="AJ825" s="140"/>
      <c r="AK825" s="140"/>
      <c r="AL825" s="140"/>
      <c r="AM825" s="140"/>
      <c r="AN825" s="140"/>
      <c r="AO825" s="140"/>
      <c r="AP825" s="140"/>
      <c r="AQ825" s="140"/>
      <c r="AR825" s="140"/>
      <c r="AS825" s="140"/>
      <c r="AT825" s="140"/>
      <c r="AU825" s="140"/>
      <c r="AV825" s="140"/>
      <c r="AW825" s="140"/>
      <c r="AX825" s="140"/>
      <c r="AY825" s="140"/>
      <c r="AZ825" s="140"/>
      <c r="BA825" s="140"/>
      <c r="BB825" s="140"/>
      <c r="BC825" s="140"/>
      <c r="BD825" s="140"/>
      <c r="BE825" s="140"/>
    </row>
    <row r="826" s="119" customFormat="1" ht="24" customHeight="1" outlineLevel="1" spans="1:57">
      <c r="A826" s="141"/>
      <c r="B826" s="14" t="s">
        <v>112</v>
      </c>
      <c r="C826" s="15"/>
      <c r="D826" s="142"/>
      <c r="E826" s="143"/>
      <c r="F826" s="143"/>
      <c r="G826" s="143"/>
      <c r="H826" s="143"/>
      <c r="I826" s="143"/>
      <c r="J826" s="143"/>
      <c r="K826" s="144"/>
      <c r="L826" s="178"/>
      <c r="M826" s="139"/>
      <c r="N826" s="139"/>
      <c r="O826" s="139"/>
      <c r="P826" s="137"/>
      <c r="Q826" s="137"/>
      <c r="R826" s="138"/>
      <c r="S826" s="137"/>
      <c r="T826" s="137"/>
      <c r="U826" s="137"/>
      <c r="V826" s="137"/>
      <c r="W826" s="139"/>
      <c r="X826" s="139"/>
      <c r="Y826" s="139"/>
      <c r="Z826" s="139"/>
      <c r="AA826" s="139"/>
      <c r="AB826" s="139"/>
      <c r="AC826" s="139"/>
      <c r="AD826" s="139"/>
      <c r="AE826" s="139"/>
      <c r="AF826" s="140"/>
      <c r="AG826" s="140"/>
      <c r="AH826" s="140"/>
      <c r="AI826" s="140"/>
      <c r="AJ826" s="140"/>
      <c r="AK826" s="140"/>
      <c r="AL826" s="140"/>
      <c r="AM826" s="140"/>
      <c r="AN826" s="140"/>
      <c r="AO826" s="140"/>
      <c r="AP826" s="140"/>
      <c r="AQ826" s="140"/>
      <c r="AR826" s="140"/>
      <c r="AS826" s="140"/>
      <c r="AT826" s="140"/>
      <c r="AU826" s="140"/>
      <c r="AV826" s="140"/>
      <c r="AW826" s="140"/>
      <c r="AX826" s="140"/>
      <c r="AY826" s="140"/>
      <c r="AZ826" s="140"/>
      <c r="BA826" s="140"/>
      <c r="BB826" s="140"/>
      <c r="BC826" s="140"/>
      <c r="BD826" s="140"/>
      <c r="BE826" s="140"/>
    </row>
    <row r="827" s="119" customFormat="1" ht="72" customHeight="1" outlineLevel="2" spans="1:57">
      <c r="A827" s="145">
        <f t="shared" ref="A827:A833" si="249">1+N(A826)</f>
        <v>1</v>
      </c>
      <c r="B827" s="146" t="s">
        <v>387</v>
      </c>
      <c r="C827" s="147" t="s">
        <v>388</v>
      </c>
      <c r="D827" s="148" t="s">
        <v>63</v>
      </c>
      <c r="E827" s="149">
        <f>1.97*3.4</f>
        <v>6.698</v>
      </c>
      <c r="F827" s="149">
        <f>S827*$S$1</f>
        <v>145</v>
      </c>
      <c r="G827" s="149">
        <f>Q827*(1+R827)*$Q$1</f>
        <v>2150</v>
      </c>
      <c r="H827" s="149">
        <f>(T827+U827)*$T$1</f>
        <v>31.5</v>
      </c>
      <c r="I827" s="150">
        <f t="shared" ref="I827:I833" si="250">(F827+G827+H827)*$I$3</f>
        <v>232.65</v>
      </c>
      <c r="J827" s="151">
        <f t="shared" ref="J827:J833" si="251">ROUND(SUM(F827:I827),2)</f>
        <v>2559.15</v>
      </c>
      <c r="K827" s="152">
        <f t="shared" ref="K827:K833" si="252">ROUND(J827*E827,2)</f>
        <v>17141.19</v>
      </c>
      <c r="L827" s="178"/>
      <c r="M827" s="139">
        <v>1</v>
      </c>
      <c r="N827" s="139">
        <v>15582.9</v>
      </c>
      <c r="O827" s="139"/>
      <c r="P827" s="37">
        <f t="shared" ref="P827:P833" si="253">Q827+Q827*R827+S827+T827+U827</f>
        <v>2326.5</v>
      </c>
      <c r="Q827" s="71">
        <v>2150</v>
      </c>
      <c r="R827" s="157">
        <v>0</v>
      </c>
      <c r="S827" s="71">
        <v>145</v>
      </c>
      <c r="T827" s="71">
        <v>30</v>
      </c>
      <c r="U827" s="71">
        <v>1.5</v>
      </c>
      <c r="V827" s="37">
        <f t="shared" ref="V827:V833" si="254">P827*E827</f>
        <v>15582.897</v>
      </c>
      <c r="W827" s="139"/>
      <c r="X827" s="139"/>
      <c r="Y827" s="139"/>
      <c r="Z827" s="139"/>
      <c r="AA827" s="139"/>
      <c r="AB827" s="139"/>
      <c r="AC827" s="139"/>
      <c r="AD827" s="139"/>
      <c r="AE827" s="139"/>
      <c r="AF827" s="140"/>
      <c r="AG827" s="140"/>
      <c r="AH827" s="140"/>
      <c r="AI827" s="140"/>
      <c r="AJ827" s="140"/>
      <c r="AK827" s="140"/>
      <c r="AL827" s="140"/>
      <c r="AM827" s="140"/>
      <c r="AN827" s="140"/>
      <c r="AO827" s="140"/>
      <c r="AP827" s="140"/>
      <c r="AQ827" s="140"/>
      <c r="AR827" s="140"/>
      <c r="AS827" s="140"/>
      <c r="AT827" s="140"/>
      <c r="AU827" s="140"/>
      <c r="AV827" s="140"/>
      <c r="AW827" s="140"/>
      <c r="AX827" s="140"/>
      <c r="AY827" s="140"/>
      <c r="AZ827" s="140"/>
      <c r="BA827" s="140"/>
      <c r="BB827" s="140"/>
      <c r="BC827" s="140"/>
      <c r="BD827" s="140"/>
      <c r="BE827" s="140"/>
    </row>
    <row r="828" s="119" customFormat="1" ht="48" customHeight="1" outlineLevel="2" spans="1:57">
      <c r="A828" s="145">
        <f t="shared" si="249"/>
        <v>2</v>
      </c>
      <c r="B828" s="146" t="s">
        <v>389</v>
      </c>
      <c r="C828" s="147" t="s">
        <v>390</v>
      </c>
      <c r="D828" s="148" t="s">
        <v>63</v>
      </c>
      <c r="E828" s="149">
        <f>0.83*3.4</f>
        <v>2.822</v>
      </c>
      <c r="F828" s="149">
        <f>S828*$S$1</f>
        <v>145</v>
      </c>
      <c r="G828" s="149">
        <f>Q828*(1+R828)*$Q$1</f>
        <v>1350</v>
      </c>
      <c r="H828" s="149">
        <f>(T828+U828)*$T$1</f>
        <v>28.5</v>
      </c>
      <c r="I828" s="150">
        <f t="shared" si="250"/>
        <v>152.35</v>
      </c>
      <c r="J828" s="151">
        <f t="shared" si="251"/>
        <v>1675.85</v>
      </c>
      <c r="K828" s="152">
        <f t="shared" si="252"/>
        <v>4729.25</v>
      </c>
      <c r="L828" s="178"/>
      <c r="M828" s="139">
        <v>1</v>
      </c>
      <c r="N828" s="139">
        <v>4299.32</v>
      </c>
      <c r="O828" s="139"/>
      <c r="P828" s="37">
        <f t="shared" si="253"/>
        <v>1523.5</v>
      </c>
      <c r="Q828" s="71">
        <v>1350</v>
      </c>
      <c r="R828" s="157">
        <v>0</v>
      </c>
      <c r="S828" s="71">
        <v>145</v>
      </c>
      <c r="T828" s="71">
        <v>27</v>
      </c>
      <c r="U828" s="71">
        <v>1.5</v>
      </c>
      <c r="V828" s="37">
        <f t="shared" si="254"/>
        <v>4299.317</v>
      </c>
      <c r="W828" s="139"/>
      <c r="X828" s="139"/>
      <c r="Y828" s="139"/>
      <c r="Z828" s="139"/>
      <c r="AA828" s="139"/>
      <c r="AB828" s="139"/>
      <c r="AC828" s="139"/>
      <c r="AD828" s="139"/>
      <c r="AE828" s="139"/>
      <c r="AF828" s="140"/>
      <c r="AG828" s="140"/>
      <c r="AH828" s="140"/>
      <c r="AI828" s="140"/>
      <c r="AJ828" s="140"/>
      <c r="AK828" s="140"/>
      <c r="AL828" s="140"/>
      <c r="AM828" s="140"/>
      <c r="AN828" s="140"/>
      <c r="AO828" s="140"/>
      <c r="AP828" s="140"/>
      <c r="AQ828" s="140"/>
      <c r="AR828" s="140"/>
      <c r="AS828" s="140"/>
      <c r="AT828" s="140"/>
      <c r="AU828" s="140"/>
      <c r="AV828" s="140"/>
      <c r="AW828" s="140"/>
      <c r="AX828" s="140"/>
      <c r="AY828" s="140"/>
      <c r="AZ828" s="140"/>
      <c r="BA828" s="140"/>
      <c r="BB828" s="140"/>
      <c r="BC828" s="140"/>
      <c r="BD828" s="140"/>
      <c r="BE828" s="140"/>
    </row>
    <row r="829" s="119" customFormat="1" ht="60" customHeight="1" outlineLevel="2" spans="1:57">
      <c r="A829" s="145">
        <f t="shared" si="249"/>
        <v>3</v>
      </c>
      <c r="B829" s="146" t="s">
        <v>391</v>
      </c>
      <c r="C829" s="147" t="s">
        <v>296</v>
      </c>
      <c r="D829" s="148" t="s">
        <v>63</v>
      </c>
      <c r="E829" s="149">
        <f>1*3.4</f>
        <v>3.4</v>
      </c>
      <c r="F829" s="149">
        <f>S829*$S$1</f>
        <v>145</v>
      </c>
      <c r="G829" s="149">
        <f>Q829*(1+R829)*$Q$1</f>
        <v>1350</v>
      </c>
      <c r="H829" s="149">
        <f>(T829+U829)*$T$1</f>
        <v>28.5</v>
      </c>
      <c r="I829" s="150">
        <f t="shared" si="250"/>
        <v>152.35</v>
      </c>
      <c r="J829" s="151">
        <f t="shared" si="251"/>
        <v>1675.85</v>
      </c>
      <c r="K829" s="152">
        <f t="shared" si="252"/>
        <v>5697.89</v>
      </c>
      <c r="L829" s="178"/>
      <c r="M829" s="139">
        <v>1</v>
      </c>
      <c r="N829" s="139">
        <v>5179.9</v>
      </c>
      <c r="O829" s="139"/>
      <c r="P829" s="37">
        <f t="shared" si="253"/>
        <v>1523.5</v>
      </c>
      <c r="Q829" s="71">
        <v>1350</v>
      </c>
      <c r="R829" s="157">
        <v>0</v>
      </c>
      <c r="S829" s="71">
        <v>145</v>
      </c>
      <c r="T829" s="71">
        <v>27</v>
      </c>
      <c r="U829" s="71">
        <v>1.5</v>
      </c>
      <c r="V829" s="37">
        <f t="shared" si="254"/>
        <v>5179.9</v>
      </c>
      <c r="W829" s="139"/>
      <c r="X829" s="139"/>
      <c r="Y829" s="139"/>
      <c r="Z829" s="139"/>
      <c r="AA829" s="139"/>
      <c r="AB829" s="139"/>
      <c r="AC829" s="139"/>
      <c r="AD829" s="139"/>
      <c r="AE829" s="139"/>
      <c r="AF829" s="140"/>
      <c r="AG829" s="140"/>
      <c r="AH829" s="140"/>
      <c r="AI829" s="140"/>
      <c r="AJ829" s="140"/>
      <c r="AK829" s="140"/>
      <c r="AL829" s="140"/>
      <c r="AM829" s="140"/>
      <c r="AN829" s="140"/>
      <c r="AO829" s="140"/>
      <c r="AP829" s="140"/>
      <c r="AQ829" s="140"/>
      <c r="AR829" s="140"/>
      <c r="AS829" s="140"/>
      <c r="AT829" s="140"/>
      <c r="AU829" s="140"/>
      <c r="AV829" s="140"/>
      <c r="AW829" s="140"/>
      <c r="AX829" s="140"/>
      <c r="AY829" s="140"/>
      <c r="AZ829" s="140"/>
      <c r="BA829" s="140"/>
      <c r="BB829" s="140"/>
      <c r="BC829" s="140"/>
      <c r="BD829" s="140"/>
      <c r="BE829" s="140"/>
    </row>
    <row r="830" s="119" customFormat="1" ht="48" customHeight="1" outlineLevel="2" spans="1:57">
      <c r="A830" s="162">
        <f t="shared" si="249"/>
        <v>4</v>
      </c>
      <c r="B830" s="14" t="s">
        <v>137</v>
      </c>
      <c r="C830" s="15" t="s">
        <v>138</v>
      </c>
      <c r="D830" s="142" t="s">
        <v>63</v>
      </c>
      <c r="E830" s="143">
        <f>4*0.8*3.1</f>
        <v>9.92</v>
      </c>
      <c r="F830" s="143">
        <f>$F$83</f>
        <v>55</v>
      </c>
      <c r="G830" s="143">
        <f>$G$83</f>
        <v>2325</v>
      </c>
      <c r="H830" s="143">
        <f>$H$83</f>
        <v>16.5</v>
      </c>
      <c r="I830" s="17">
        <f t="shared" si="250"/>
        <v>239.65</v>
      </c>
      <c r="J830" s="18">
        <f t="shared" si="251"/>
        <v>2636.15</v>
      </c>
      <c r="K830" s="19">
        <f t="shared" si="252"/>
        <v>26150.61</v>
      </c>
      <c r="L830" s="178"/>
      <c r="M830" s="139">
        <v>1</v>
      </c>
      <c r="N830" s="139">
        <v>23773.28</v>
      </c>
      <c r="O830" s="139"/>
      <c r="P830" s="37">
        <f t="shared" si="253"/>
        <v>2396.5</v>
      </c>
      <c r="Q830" s="99">
        <f>$Q$83</f>
        <v>2325</v>
      </c>
      <c r="R830" s="163">
        <f>$R$83</f>
        <v>0</v>
      </c>
      <c r="S830" s="99">
        <f>$S$83</f>
        <v>55</v>
      </c>
      <c r="T830" s="99">
        <f>$T$83</f>
        <v>15</v>
      </c>
      <c r="U830" s="99">
        <f>$U$83</f>
        <v>1.5</v>
      </c>
      <c r="V830" s="37">
        <f t="shared" si="254"/>
        <v>23773.28</v>
      </c>
      <c r="W830" s="139"/>
      <c r="X830" s="139"/>
      <c r="Y830" s="139"/>
      <c r="Z830" s="139"/>
      <c r="AA830" s="139"/>
      <c r="AB830" s="139"/>
      <c r="AC830" s="139"/>
      <c r="AD830" s="139"/>
      <c r="AE830" s="139"/>
      <c r="AF830" s="140"/>
      <c r="AG830" s="140"/>
      <c r="AH830" s="140"/>
      <c r="AI830" s="140"/>
      <c r="AJ830" s="140"/>
      <c r="AK830" s="140"/>
      <c r="AL830" s="140"/>
      <c r="AM830" s="140"/>
      <c r="AN830" s="140"/>
      <c r="AO830" s="140"/>
      <c r="AP830" s="140"/>
      <c r="AQ830" s="140"/>
      <c r="AR830" s="140"/>
      <c r="AS830" s="140"/>
      <c r="AT830" s="140"/>
      <c r="AU830" s="140"/>
      <c r="AV830" s="140"/>
      <c r="AW830" s="140"/>
      <c r="AX830" s="140"/>
      <c r="AY830" s="140"/>
      <c r="AZ830" s="140"/>
      <c r="BA830" s="140"/>
      <c r="BB830" s="140"/>
      <c r="BC830" s="140"/>
      <c r="BD830" s="140"/>
      <c r="BE830" s="140"/>
    </row>
    <row r="831" s="119" customFormat="1" ht="60" customHeight="1" outlineLevel="2" spans="1:57">
      <c r="A831" s="145">
        <f t="shared" si="249"/>
        <v>5</v>
      </c>
      <c r="B831" s="146" t="s">
        <v>392</v>
      </c>
      <c r="C831" s="147" t="s">
        <v>393</v>
      </c>
      <c r="D831" s="148" t="s">
        <v>63</v>
      </c>
      <c r="E831" s="149">
        <f>1.4*3.4</f>
        <v>4.76</v>
      </c>
      <c r="F831" s="149">
        <f>S831*$S$1</f>
        <v>35</v>
      </c>
      <c r="G831" s="149">
        <f>Q831*(1+R831)*$Q$1</f>
        <v>1280</v>
      </c>
      <c r="H831" s="149">
        <f>(T831+U831)*$T$1</f>
        <v>52.5</v>
      </c>
      <c r="I831" s="150">
        <f t="shared" si="250"/>
        <v>136.75</v>
      </c>
      <c r="J831" s="151">
        <f t="shared" si="251"/>
        <v>1504.25</v>
      </c>
      <c r="K831" s="152">
        <f t="shared" si="252"/>
        <v>7160.23</v>
      </c>
      <c r="L831" s="178"/>
      <c r="M831" s="139">
        <v>1</v>
      </c>
      <c r="N831" s="139">
        <v>6509.3</v>
      </c>
      <c r="O831" s="139"/>
      <c r="P831" s="37">
        <f t="shared" si="253"/>
        <v>1367.5</v>
      </c>
      <c r="Q831" s="71">
        <v>1280</v>
      </c>
      <c r="R831" s="157">
        <v>0</v>
      </c>
      <c r="S831" s="71">
        <v>35</v>
      </c>
      <c r="T831" s="71">
        <v>51</v>
      </c>
      <c r="U831" s="71">
        <v>1.5</v>
      </c>
      <c r="V831" s="37">
        <f t="shared" si="254"/>
        <v>6509.3</v>
      </c>
      <c r="W831" s="139"/>
      <c r="X831" s="139"/>
      <c r="Y831" s="139"/>
      <c r="Z831" s="139"/>
      <c r="AA831" s="139"/>
      <c r="AB831" s="139"/>
      <c r="AC831" s="139"/>
      <c r="AD831" s="139"/>
      <c r="AE831" s="139"/>
      <c r="AF831" s="140"/>
      <c r="AG831" s="140"/>
      <c r="AH831" s="140"/>
      <c r="AI831" s="140"/>
      <c r="AJ831" s="140"/>
      <c r="AK831" s="140"/>
      <c r="AL831" s="140"/>
      <c r="AM831" s="140"/>
      <c r="AN831" s="140"/>
      <c r="AO831" s="140"/>
      <c r="AP831" s="140"/>
      <c r="AQ831" s="140"/>
      <c r="AR831" s="140"/>
      <c r="AS831" s="140"/>
      <c r="AT831" s="140"/>
      <c r="AU831" s="140"/>
      <c r="AV831" s="140"/>
      <c r="AW831" s="140"/>
      <c r="AX831" s="140"/>
      <c r="AY831" s="140"/>
      <c r="AZ831" s="140"/>
      <c r="BA831" s="140"/>
      <c r="BB831" s="140"/>
      <c r="BC831" s="140"/>
      <c r="BD831" s="140"/>
      <c r="BE831" s="140"/>
    </row>
    <row r="832" s="119" customFormat="1" ht="60" customHeight="1" outlineLevel="2" spans="1:57">
      <c r="A832" s="145">
        <f t="shared" si="249"/>
        <v>6</v>
      </c>
      <c r="B832" s="146" t="s">
        <v>394</v>
      </c>
      <c r="C832" s="147" t="s">
        <v>395</v>
      </c>
      <c r="D832" s="148" t="s">
        <v>63</v>
      </c>
      <c r="E832" s="149">
        <f>1.1*2.02</f>
        <v>2.222</v>
      </c>
      <c r="F832" s="149">
        <f>S832*$S$1</f>
        <v>35</v>
      </c>
      <c r="G832" s="149">
        <f>Q832*(1+R832)*$Q$1</f>
        <v>2100</v>
      </c>
      <c r="H832" s="149">
        <f>(T832+U832)*$T$1</f>
        <v>52.5</v>
      </c>
      <c r="I832" s="150">
        <f t="shared" si="250"/>
        <v>218.75</v>
      </c>
      <c r="J832" s="151">
        <f t="shared" si="251"/>
        <v>2406.25</v>
      </c>
      <c r="K832" s="152">
        <f t="shared" si="252"/>
        <v>5346.69</v>
      </c>
      <c r="L832" s="178"/>
      <c r="M832" s="139">
        <v>1</v>
      </c>
      <c r="N832" s="139">
        <v>4860.63</v>
      </c>
      <c r="O832" s="139"/>
      <c r="P832" s="37">
        <f t="shared" si="253"/>
        <v>2187.5</v>
      </c>
      <c r="Q832" s="71">
        <v>2100</v>
      </c>
      <c r="R832" s="157">
        <v>0</v>
      </c>
      <c r="S832" s="71">
        <v>35</v>
      </c>
      <c r="T832" s="71">
        <v>51</v>
      </c>
      <c r="U832" s="71">
        <v>1.5</v>
      </c>
      <c r="V832" s="37">
        <f t="shared" si="254"/>
        <v>4860.625</v>
      </c>
      <c r="W832" s="139"/>
      <c r="X832" s="139"/>
      <c r="Y832" s="139"/>
      <c r="Z832" s="139"/>
      <c r="AA832" s="139"/>
      <c r="AB832" s="139"/>
      <c r="AC832" s="139"/>
      <c r="AD832" s="139"/>
      <c r="AE832" s="139"/>
      <c r="AF832" s="140"/>
      <c r="AG832" s="140"/>
      <c r="AH832" s="140"/>
      <c r="AI832" s="140"/>
      <c r="AJ832" s="140"/>
      <c r="AK832" s="140"/>
      <c r="AL832" s="140"/>
      <c r="AM832" s="140"/>
      <c r="AN832" s="140"/>
      <c r="AO832" s="140"/>
      <c r="AP832" s="140"/>
      <c r="AQ832" s="140"/>
      <c r="AR832" s="140"/>
      <c r="AS832" s="140"/>
      <c r="AT832" s="140"/>
      <c r="AU832" s="140"/>
      <c r="AV832" s="140"/>
      <c r="AW832" s="140"/>
      <c r="AX832" s="140"/>
      <c r="AY832" s="140"/>
      <c r="AZ832" s="140"/>
      <c r="BA832" s="140"/>
      <c r="BB832" s="140"/>
      <c r="BC832" s="140"/>
      <c r="BD832" s="140"/>
      <c r="BE832" s="140"/>
    </row>
    <row r="833" s="119" customFormat="1" ht="72" customHeight="1" outlineLevel="2" spans="1:57">
      <c r="A833" s="145">
        <f t="shared" si="249"/>
        <v>7</v>
      </c>
      <c r="B833" s="146" t="s">
        <v>396</v>
      </c>
      <c r="C833" s="147" t="s">
        <v>397</v>
      </c>
      <c r="D833" s="148" t="s">
        <v>70</v>
      </c>
      <c r="E833" s="149">
        <v>1.64</v>
      </c>
      <c r="F833" s="149">
        <f>S833*$S$1</f>
        <v>85</v>
      </c>
      <c r="G833" s="149">
        <f>Q833*(1+R833)*$Q$1</f>
        <v>1280</v>
      </c>
      <c r="H833" s="149">
        <f>(T833+U833)*$T$1</f>
        <v>16.5</v>
      </c>
      <c r="I833" s="150">
        <f t="shared" si="250"/>
        <v>138.15</v>
      </c>
      <c r="J833" s="151">
        <f t="shared" si="251"/>
        <v>1519.65</v>
      </c>
      <c r="K833" s="152">
        <f t="shared" si="252"/>
        <v>2492.23</v>
      </c>
      <c r="L833" s="178"/>
      <c r="M833" s="139">
        <v>1</v>
      </c>
      <c r="N833" s="139">
        <v>2265.66</v>
      </c>
      <c r="O833" s="139"/>
      <c r="P833" s="37">
        <f t="shared" si="253"/>
        <v>1381.5</v>
      </c>
      <c r="Q833" s="71">
        <v>1280</v>
      </c>
      <c r="R833" s="157">
        <v>0</v>
      </c>
      <c r="S833" s="71">
        <v>85</v>
      </c>
      <c r="T833" s="71">
        <v>15</v>
      </c>
      <c r="U833" s="71">
        <v>1.5</v>
      </c>
      <c r="V833" s="37">
        <f t="shared" si="254"/>
        <v>2265.66</v>
      </c>
      <c r="W833" s="139"/>
      <c r="X833" s="139"/>
      <c r="Y833" s="139"/>
      <c r="Z833" s="139"/>
      <c r="AA833" s="139"/>
      <c r="AB833" s="139"/>
      <c r="AC833" s="139"/>
      <c r="AD833" s="139"/>
      <c r="AE833" s="139"/>
      <c r="AF833" s="140"/>
      <c r="AG833" s="140"/>
      <c r="AH833" s="140"/>
      <c r="AI833" s="140"/>
      <c r="AJ833" s="140"/>
      <c r="AK833" s="140"/>
      <c r="AL833" s="140"/>
      <c r="AM833" s="140"/>
      <c r="AN833" s="140"/>
      <c r="AO833" s="140"/>
      <c r="AP833" s="140"/>
      <c r="AQ833" s="140"/>
      <c r="AR833" s="140"/>
      <c r="AS833" s="140"/>
      <c r="AT833" s="140"/>
      <c r="AU833" s="140"/>
      <c r="AV833" s="140"/>
      <c r="AW833" s="140"/>
      <c r="AX833" s="140"/>
      <c r="AY833" s="140"/>
      <c r="AZ833" s="140"/>
      <c r="BA833" s="140"/>
      <c r="BB833" s="140"/>
      <c r="BC833" s="140"/>
      <c r="BD833" s="140"/>
      <c r="BE833" s="140"/>
    </row>
    <row r="834" s="119" customFormat="1" ht="24" customHeight="1" outlineLevel="1" spans="1:57">
      <c r="A834" s="132" t="s">
        <v>398</v>
      </c>
      <c r="B834" s="8" t="s">
        <v>399</v>
      </c>
      <c r="C834" s="180"/>
      <c r="D834" s="133"/>
      <c r="E834" s="134"/>
      <c r="F834" s="134"/>
      <c r="G834" s="134"/>
      <c r="H834" s="134"/>
      <c r="I834" s="134"/>
      <c r="J834" s="134"/>
      <c r="K834" s="11"/>
      <c r="L834" s="178"/>
      <c r="M834" s="139"/>
      <c r="N834" s="139"/>
      <c r="O834" s="139" t="str">
        <f>_xlfn.DISPIMG("ID_F6DAD87C6F484C429ADAAC7CB59B11E6",1)</f>
        <v>=DISPIMG("ID_F6DAD87C6F484C429ADAAC7CB59B11E6",1)</v>
      </c>
      <c r="P834" s="137"/>
      <c r="Q834" s="137"/>
      <c r="R834" s="138"/>
      <c r="S834" s="137"/>
      <c r="T834" s="137"/>
      <c r="U834" s="137"/>
      <c r="V834" s="137"/>
      <c r="W834" s="139"/>
      <c r="X834" s="139"/>
      <c r="Y834" s="139"/>
      <c r="Z834" s="139"/>
      <c r="AA834" s="139"/>
      <c r="AB834" s="139"/>
      <c r="AC834" s="139"/>
      <c r="AD834" s="139"/>
      <c r="AE834" s="139"/>
      <c r="AF834" s="140"/>
      <c r="AG834" s="140"/>
      <c r="AH834" s="140"/>
      <c r="AI834" s="140"/>
      <c r="AJ834" s="140"/>
      <c r="AK834" s="140"/>
      <c r="AL834" s="140"/>
      <c r="AM834" s="140"/>
      <c r="AN834" s="140"/>
      <c r="AO834" s="140"/>
      <c r="AP834" s="140"/>
      <c r="AQ834" s="140"/>
      <c r="AR834" s="140"/>
      <c r="AS834" s="140"/>
      <c r="AT834" s="140"/>
      <c r="AU834" s="140"/>
      <c r="AV834" s="140"/>
      <c r="AW834" s="140"/>
      <c r="AX834" s="140"/>
      <c r="AY834" s="140"/>
      <c r="AZ834" s="140"/>
      <c r="BA834" s="140"/>
      <c r="BB834" s="140"/>
      <c r="BC834" s="140"/>
      <c r="BD834" s="140"/>
      <c r="BE834" s="140"/>
    </row>
    <row r="835" s="119" customFormat="1" ht="24" customHeight="1" outlineLevel="1" spans="1:57">
      <c r="A835" s="141"/>
      <c r="B835" s="14" t="s">
        <v>60</v>
      </c>
      <c r="C835" s="15"/>
      <c r="D835" s="142"/>
      <c r="E835" s="143"/>
      <c r="F835" s="143"/>
      <c r="G835" s="143"/>
      <c r="H835" s="143"/>
      <c r="I835" s="143"/>
      <c r="J835" s="143"/>
      <c r="K835" s="144"/>
      <c r="L835" s="178"/>
      <c r="M835" s="139"/>
      <c r="N835" s="139"/>
      <c r="O835" s="139"/>
      <c r="P835" s="137"/>
      <c r="Q835" s="137"/>
      <c r="R835" s="138"/>
      <c r="S835" s="137"/>
      <c r="T835" s="137"/>
      <c r="U835" s="137"/>
      <c r="V835" s="137"/>
      <c r="W835" s="139"/>
      <c r="X835" s="139"/>
      <c r="Y835" s="139"/>
      <c r="Z835" s="139"/>
      <c r="AA835" s="139"/>
      <c r="AB835" s="139"/>
      <c r="AC835" s="139"/>
      <c r="AD835" s="139"/>
      <c r="AE835" s="139"/>
      <c r="AF835" s="140"/>
      <c r="AG835" s="140"/>
      <c r="AH835" s="140"/>
      <c r="AI835" s="140"/>
      <c r="AJ835" s="140"/>
      <c r="AK835" s="140"/>
      <c r="AL835" s="140"/>
      <c r="AM835" s="140"/>
      <c r="AN835" s="140"/>
      <c r="AO835" s="140"/>
      <c r="AP835" s="140"/>
      <c r="AQ835" s="140"/>
      <c r="AR835" s="140"/>
      <c r="AS835" s="140"/>
      <c r="AT835" s="140"/>
      <c r="AU835" s="140"/>
      <c r="AV835" s="140"/>
      <c r="AW835" s="140"/>
      <c r="AX835" s="140"/>
      <c r="AY835" s="140"/>
      <c r="AZ835" s="140"/>
      <c r="BA835" s="140"/>
      <c r="BB835" s="140"/>
      <c r="BC835" s="140"/>
      <c r="BD835" s="140"/>
      <c r="BE835" s="140"/>
    </row>
    <row r="836" s="119" customFormat="1" ht="60" customHeight="1" outlineLevel="2" spans="1:57">
      <c r="A836" s="162">
        <f t="shared" ref="A836:A841" si="255">1+N(A835)</f>
        <v>1</v>
      </c>
      <c r="B836" s="14" t="s">
        <v>183</v>
      </c>
      <c r="C836" s="15" t="s">
        <v>184</v>
      </c>
      <c r="D836" s="142" t="s">
        <v>63</v>
      </c>
      <c r="E836" s="143">
        <v>6.6</v>
      </c>
      <c r="F836" s="143">
        <f>$F$210</f>
        <v>10.5</v>
      </c>
      <c r="G836" s="143">
        <f>$G$210</f>
        <v>72.72</v>
      </c>
      <c r="H836" s="143">
        <f>$H$210</f>
        <v>3.7</v>
      </c>
      <c r="I836" s="17">
        <f t="shared" ref="I836:I841" si="256">(F836+G836+H836)*$I$3</f>
        <v>8.692</v>
      </c>
      <c r="J836" s="18">
        <f t="shared" ref="J836:J841" si="257">ROUND(SUM(F836:I836),2)</f>
        <v>95.61</v>
      </c>
      <c r="K836" s="19">
        <f t="shared" ref="K836:K841" si="258">ROUND(J836*E836,2)</f>
        <v>631.03</v>
      </c>
      <c r="L836" s="178"/>
      <c r="M836" s="139">
        <v>1</v>
      </c>
      <c r="N836" s="139">
        <v>573.67</v>
      </c>
      <c r="O836" s="139"/>
      <c r="P836" s="37">
        <f t="shared" ref="P836:P841" si="259">Q836+Q836*R836+S836+T836+U836</f>
        <v>86.92</v>
      </c>
      <c r="Q836" s="99">
        <f>$Q$210</f>
        <v>72</v>
      </c>
      <c r="R836" s="163">
        <f>$R$210</f>
        <v>0.01</v>
      </c>
      <c r="S836" s="99">
        <f>$S$210</f>
        <v>10.5</v>
      </c>
      <c r="T836" s="99">
        <f>$T$210</f>
        <v>3.5</v>
      </c>
      <c r="U836" s="99">
        <f>$U$210</f>
        <v>0.2</v>
      </c>
      <c r="V836" s="37">
        <f t="shared" ref="V836:V841" si="260">P836*E836</f>
        <v>573.672</v>
      </c>
      <c r="W836" s="139"/>
      <c r="X836" s="139"/>
      <c r="Y836" s="139"/>
      <c r="Z836" s="139"/>
      <c r="AA836" s="139"/>
      <c r="AB836" s="139"/>
      <c r="AC836" s="139"/>
      <c r="AD836" s="139"/>
      <c r="AE836" s="139"/>
      <c r="AF836" s="140"/>
      <c r="AG836" s="140"/>
      <c r="AH836" s="140"/>
      <c r="AI836" s="140"/>
      <c r="AJ836" s="140"/>
      <c r="AK836" s="140"/>
      <c r="AL836" s="140"/>
      <c r="AM836" s="140"/>
      <c r="AN836" s="140"/>
      <c r="AO836" s="140"/>
      <c r="AP836" s="140"/>
      <c r="AQ836" s="140"/>
      <c r="AR836" s="140"/>
      <c r="AS836" s="140"/>
      <c r="AT836" s="140"/>
      <c r="AU836" s="140"/>
      <c r="AV836" s="140"/>
      <c r="AW836" s="140"/>
      <c r="AX836" s="140"/>
      <c r="AY836" s="140"/>
      <c r="AZ836" s="140"/>
      <c r="BA836" s="140"/>
      <c r="BB836" s="140"/>
      <c r="BC836" s="140"/>
      <c r="BD836" s="140"/>
      <c r="BE836" s="140"/>
    </row>
    <row r="837" s="119" customFormat="1" ht="60" customHeight="1" outlineLevel="2" spans="1:57">
      <c r="A837" s="162">
        <f t="shared" si="255"/>
        <v>2</v>
      </c>
      <c r="B837" s="14" t="s">
        <v>185</v>
      </c>
      <c r="C837" s="15" t="s">
        <v>186</v>
      </c>
      <c r="D837" s="142" t="s">
        <v>63</v>
      </c>
      <c r="E837" s="143">
        <v>6.6</v>
      </c>
      <c r="F837" s="143">
        <f>$F$211</f>
        <v>22</v>
      </c>
      <c r="G837" s="143">
        <f>$G$211</f>
        <v>0</v>
      </c>
      <c r="H837" s="143">
        <f>$H$211</f>
        <v>8.7</v>
      </c>
      <c r="I837" s="17">
        <f t="shared" si="256"/>
        <v>3.07</v>
      </c>
      <c r="J837" s="18">
        <f t="shared" si="257"/>
        <v>33.77</v>
      </c>
      <c r="K837" s="19">
        <f t="shared" si="258"/>
        <v>222.88</v>
      </c>
      <c r="L837" s="178"/>
      <c r="M837" s="139">
        <v>1</v>
      </c>
      <c r="N837" s="139">
        <v>202.62</v>
      </c>
      <c r="O837" s="139"/>
      <c r="P837" s="37">
        <f t="shared" si="259"/>
        <v>30.7</v>
      </c>
      <c r="Q837" s="99">
        <f>$Q$211</f>
        <v>0</v>
      </c>
      <c r="R837" s="163">
        <f>$R$211</f>
        <v>0</v>
      </c>
      <c r="S837" s="99">
        <f>$S$211</f>
        <v>22</v>
      </c>
      <c r="T837" s="99">
        <f>$T$211</f>
        <v>8.5</v>
      </c>
      <c r="U837" s="99">
        <f>$U$211</f>
        <v>0.2</v>
      </c>
      <c r="V837" s="37">
        <f t="shared" si="260"/>
        <v>202.62</v>
      </c>
      <c r="W837" s="139"/>
      <c r="X837" s="139"/>
      <c r="Y837" s="139"/>
      <c r="Z837" s="139"/>
      <c r="AA837" s="139"/>
      <c r="AB837" s="139"/>
      <c r="AC837" s="139"/>
      <c r="AD837" s="139"/>
      <c r="AE837" s="139"/>
      <c r="AF837" s="140"/>
      <c r="AG837" s="140"/>
      <c r="AH837" s="140"/>
      <c r="AI837" s="140"/>
      <c r="AJ837" s="140"/>
      <c r="AK837" s="140"/>
      <c r="AL837" s="140"/>
      <c r="AM837" s="140"/>
      <c r="AN837" s="140"/>
      <c r="AO837" s="140"/>
      <c r="AP837" s="140"/>
      <c r="AQ837" s="140"/>
      <c r="AR837" s="140"/>
      <c r="AS837" s="140"/>
      <c r="AT837" s="140"/>
      <c r="AU837" s="140"/>
      <c r="AV837" s="140"/>
      <c r="AW837" s="140"/>
      <c r="AX837" s="140"/>
      <c r="AY837" s="140"/>
      <c r="AZ837" s="140"/>
      <c r="BA837" s="140"/>
      <c r="BB837" s="140"/>
      <c r="BC837" s="140"/>
      <c r="BD837" s="140"/>
      <c r="BE837" s="140"/>
    </row>
    <row r="838" s="119" customFormat="1" ht="48" customHeight="1" outlineLevel="2" spans="1:57">
      <c r="A838" s="162">
        <f t="shared" si="255"/>
        <v>3</v>
      </c>
      <c r="B838" s="14" t="s">
        <v>187</v>
      </c>
      <c r="C838" s="15" t="s">
        <v>188</v>
      </c>
      <c r="D838" s="142" t="s">
        <v>63</v>
      </c>
      <c r="E838" s="143">
        <v>6.6</v>
      </c>
      <c r="F838" s="143">
        <f>$F$212</f>
        <v>30</v>
      </c>
      <c r="G838" s="143">
        <f>$G$212</f>
        <v>18.685</v>
      </c>
      <c r="H838" s="143">
        <f>$H$212</f>
        <v>13.5</v>
      </c>
      <c r="I838" s="17">
        <f t="shared" si="256"/>
        <v>6.2185</v>
      </c>
      <c r="J838" s="18">
        <f t="shared" si="257"/>
        <v>68.4</v>
      </c>
      <c r="K838" s="19">
        <f t="shared" si="258"/>
        <v>451.44</v>
      </c>
      <c r="L838" s="178"/>
      <c r="M838" s="139">
        <v>1</v>
      </c>
      <c r="N838" s="139">
        <v>410.45</v>
      </c>
      <c r="O838" s="139"/>
      <c r="P838" s="37">
        <f t="shared" si="259"/>
        <v>62.185</v>
      </c>
      <c r="Q838" s="99">
        <f>$Q$212</f>
        <v>18.5</v>
      </c>
      <c r="R838" s="163">
        <f>$R$212</f>
        <v>0.01</v>
      </c>
      <c r="S838" s="99">
        <f>$S$212</f>
        <v>30</v>
      </c>
      <c r="T838" s="99">
        <f>$T$212</f>
        <v>12</v>
      </c>
      <c r="U838" s="99">
        <f>$U$212</f>
        <v>1.5</v>
      </c>
      <c r="V838" s="37">
        <f t="shared" si="260"/>
        <v>410.421</v>
      </c>
      <c r="W838" s="139"/>
      <c r="X838" s="139"/>
      <c r="Y838" s="139"/>
      <c r="Z838" s="139"/>
      <c r="AA838" s="139"/>
      <c r="AB838" s="139"/>
      <c r="AC838" s="139"/>
      <c r="AD838" s="139"/>
      <c r="AE838" s="139"/>
      <c r="AF838" s="140"/>
      <c r="AG838" s="140"/>
      <c r="AH838" s="140"/>
      <c r="AI838" s="140"/>
      <c r="AJ838" s="140"/>
      <c r="AK838" s="140"/>
      <c r="AL838" s="140"/>
      <c r="AM838" s="140"/>
      <c r="AN838" s="140"/>
      <c r="AO838" s="140"/>
      <c r="AP838" s="140"/>
      <c r="AQ838" s="140"/>
      <c r="AR838" s="140"/>
      <c r="AS838" s="140"/>
      <c r="AT838" s="140"/>
      <c r="AU838" s="140"/>
      <c r="AV838" s="140"/>
      <c r="AW838" s="140"/>
      <c r="AX838" s="140"/>
      <c r="AY838" s="140"/>
      <c r="AZ838" s="140"/>
      <c r="BA838" s="140"/>
      <c r="BB838" s="140"/>
      <c r="BC838" s="140"/>
      <c r="BD838" s="140"/>
      <c r="BE838" s="140"/>
    </row>
    <row r="839" s="119" customFormat="1" ht="48" customHeight="1" outlineLevel="2" spans="1:57">
      <c r="A839" s="162">
        <f t="shared" si="255"/>
        <v>4</v>
      </c>
      <c r="B839" s="164" t="s">
        <v>189</v>
      </c>
      <c r="C839" s="60" t="s">
        <v>190</v>
      </c>
      <c r="D839" s="142" t="s">
        <v>63</v>
      </c>
      <c r="E839" s="143">
        <v>6.6</v>
      </c>
      <c r="F839" s="143">
        <f>$F$213</f>
        <v>42</v>
      </c>
      <c r="G839" s="143">
        <f>$G$213</f>
        <v>30.3</v>
      </c>
      <c r="H839" s="143">
        <f>$H$213</f>
        <v>13.5</v>
      </c>
      <c r="I839" s="17">
        <f t="shared" si="256"/>
        <v>8.58</v>
      </c>
      <c r="J839" s="18">
        <f t="shared" si="257"/>
        <v>94.38</v>
      </c>
      <c r="K839" s="19">
        <f t="shared" si="258"/>
        <v>622.91</v>
      </c>
      <c r="L839" s="178"/>
      <c r="M839" s="139">
        <v>1</v>
      </c>
      <c r="N839" s="139">
        <v>566.28</v>
      </c>
      <c r="O839" s="139"/>
      <c r="P839" s="37">
        <f t="shared" si="259"/>
        <v>85.8</v>
      </c>
      <c r="Q839" s="99">
        <f>$Q$213</f>
        <v>30</v>
      </c>
      <c r="R839" s="163">
        <f>$R$213</f>
        <v>0.01</v>
      </c>
      <c r="S839" s="99">
        <f>$S$213</f>
        <v>42</v>
      </c>
      <c r="T839" s="99">
        <f>$T$213</f>
        <v>12</v>
      </c>
      <c r="U839" s="99">
        <f>$U$213</f>
        <v>1.5</v>
      </c>
      <c r="V839" s="37">
        <f t="shared" si="260"/>
        <v>566.28</v>
      </c>
      <c r="W839" s="139"/>
      <c r="X839" s="139"/>
      <c r="Y839" s="139"/>
      <c r="Z839" s="139"/>
      <c r="AA839" s="139"/>
      <c r="AB839" s="139"/>
      <c r="AC839" s="139"/>
      <c r="AD839" s="139"/>
      <c r="AE839" s="139"/>
      <c r="AF839" s="140"/>
      <c r="AG839" s="140"/>
      <c r="AH839" s="140"/>
      <c r="AI839" s="140"/>
      <c r="AJ839" s="140"/>
      <c r="AK839" s="140"/>
      <c r="AL839" s="140"/>
      <c r="AM839" s="140"/>
      <c r="AN839" s="140"/>
      <c r="AO839" s="140"/>
      <c r="AP839" s="140"/>
      <c r="AQ839" s="140"/>
      <c r="AR839" s="140"/>
      <c r="AS839" s="140"/>
      <c r="AT839" s="140"/>
      <c r="AU839" s="140"/>
      <c r="AV839" s="140"/>
      <c r="AW839" s="140"/>
      <c r="AX839" s="140"/>
      <c r="AY839" s="140"/>
      <c r="AZ839" s="140"/>
      <c r="BA839" s="140"/>
      <c r="BB839" s="140"/>
      <c r="BC839" s="140"/>
      <c r="BD839" s="140"/>
      <c r="BE839" s="140"/>
    </row>
    <row r="840" s="119" customFormat="1" ht="84" customHeight="1" outlineLevel="2" spans="1:57">
      <c r="A840" s="162">
        <f t="shared" si="255"/>
        <v>5</v>
      </c>
      <c r="B840" s="14" t="s">
        <v>380</v>
      </c>
      <c r="C840" s="15" t="s">
        <v>381</v>
      </c>
      <c r="D840" s="142" t="s">
        <v>63</v>
      </c>
      <c r="E840" s="143">
        <v>6.6</v>
      </c>
      <c r="F840" s="143">
        <f>$F$806</f>
        <v>140</v>
      </c>
      <c r="G840" s="143">
        <f>$G$806</f>
        <v>916.7</v>
      </c>
      <c r="H840" s="17">
        <f>$H$806</f>
        <v>47.7</v>
      </c>
      <c r="I840" s="17">
        <f t="shared" si="256"/>
        <v>110.44</v>
      </c>
      <c r="J840" s="18">
        <f t="shared" si="257"/>
        <v>1214.84</v>
      </c>
      <c r="K840" s="19">
        <f t="shared" si="258"/>
        <v>8017.94</v>
      </c>
      <c r="L840" s="178"/>
      <c r="M840" s="139">
        <v>1</v>
      </c>
      <c r="N840" s="139">
        <v>7289.04</v>
      </c>
      <c r="O840" s="139"/>
      <c r="P840" s="37">
        <f t="shared" si="259"/>
        <v>1104.4</v>
      </c>
      <c r="Q840" s="99">
        <f>$Q$806</f>
        <v>890</v>
      </c>
      <c r="R840" s="163">
        <f>$R$806</f>
        <v>0.03</v>
      </c>
      <c r="S840" s="99">
        <f>$S$806</f>
        <v>140</v>
      </c>
      <c r="T840" s="99">
        <f>$T$806</f>
        <v>46.2</v>
      </c>
      <c r="U840" s="99">
        <f>$U$806</f>
        <v>1.5</v>
      </c>
      <c r="V840" s="37">
        <f t="shared" si="260"/>
        <v>7289.04</v>
      </c>
      <c r="W840" s="139"/>
      <c r="X840" s="139"/>
      <c r="Y840" s="139"/>
      <c r="Z840" s="139"/>
      <c r="AA840" s="139"/>
      <c r="AB840" s="139"/>
      <c r="AC840" s="139"/>
      <c r="AD840" s="139"/>
      <c r="AE840" s="139"/>
      <c r="AF840" s="140"/>
      <c r="AG840" s="140"/>
      <c r="AH840" s="140"/>
      <c r="AI840" s="140"/>
      <c r="AJ840" s="140"/>
      <c r="AK840" s="140"/>
      <c r="AL840" s="140"/>
      <c r="AM840" s="140"/>
      <c r="AN840" s="140"/>
      <c r="AO840" s="140"/>
      <c r="AP840" s="140"/>
      <c r="AQ840" s="140"/>
      <c r="AR840" s="140"/>
      <c r="AS840" s="140"/>
      <c r="AT840" s="140"/>
      <c r="AU840" s="140"/>
      <c r="AV840" s="140"/>
      <c r="AW840" s="140"/>
      <c r="AX840" s="140"/>
      <c r="AY840" s="140"/>
      <c r="AZ840" s="140"/>
      <c r="BA840" s="140"/>
      <c r="BB840" s="140"/>
      <c r="BC840" s="140"/>
      <c r="BD840" s="140"/>
      <c r="BE840" s="140"/>
    </row>
    <row r="841" s="119" customFormat="1" ht="48" customHeight="1" outlineLevel="2" spans="1:57">
      <c r="A841" s="162">
        <f t="shared" si="255"/>
        <v>6</v>
      </c>
      <c r="B841" s="14" t="s">
        <v>71</v>
      </c>
      <c r="C841" s="15" t="s">
        <v>72</v>
      </c>
      <c r="D841" s="142" t="s">
        <v>63</v>
      </c>
      <c r="E841" s="143">
        <v>6.6</v>
      </c>
      <c r="F841" s="143">
        <f>$F$11</f>
        <v>40</v>
      </c>
      <c r="G841" s="143">
        <f>$G$11</f>
        <v>15</v>
      </c>
      <c r="H841" s="143">
        <f>$H$11</f>
        <v>0.8</v>
      </c>
      <c r="I841" s="17">
        <f t="shared" si="256"/>
        <v>5.58</v>
      </c>
      <c r="J841" s="18">
        <f t="shared" si="257"/>
        <v>61.38</v>
      </c>
      <c r="K841" s="19">
        <f t="shared" si="258"/>
        <v>405.11</v>
      </c>
      <c r="L841" s="178"/>
      <c r="M841" s="139">
        <v>1</v>
      </c>
      <c r="N841" s="139">
        <v>368.28</v>
      </c>
      <c r="O841" s="139"/>
      <c r="P841" s="37">
        <f t="shared" si="259"/>
        <v>55.8</v>
      </c>
      <c r="Q841" s="99">
        <f>$Q$11</f>
        <v>15</v>
      </c>
      <c r="R841" s="163">
        <f>$R$11</f>
        <v>0</v>
      </c>
      <c r="S841" s="99">
        <f>$S$11</f>
        <v>40</v>
      </c>
      <c r="T841" s="99">
        <f>$T$11</f>
        <v>0.5</v>
      </c>
      <c r="U841" s="99">
        <f>$U$11</f>
        <v>0.3</v>
      </c>
      <c r="V841" s="37">
        <f t="shared" si="260"/>
        <v>368.28</v>
      </c>
      <c r="W841" s="139"/>
      <c r="X841" s="139"/>
      <c r="Y841" s="139"/>
      <c r="Z841" s="139"/>
      <c r="AA841" s="139"/>
      <c r="AB841" s="139"/>
      <c r="AC841" s="139"/>
      <c r="AD841" s="139"/>
      <c r="AE841" s="139"/>
      <c r="AF841" s="140"/>
      <c r="AG841" s="140"/>
      <c r="AH841" s="140"/>
      <c r="AI841" s="140"/>
      <c r="AJ841" s="140"/>
      <c r="AK841" s="140"/>
      <c r="AL841" s="140"/>
      <c r="AM841" s="140"/>
      <c r="AN841" s="140"/>
      <c r="AO841" s="140"/>
      <c r="AP841" s="140"/>
      <c r="AQ841" s="140"/>
      <c r="AR841" s="140"/>
      <c r="AS841" s="140"/>
      <c r="AT841" s="140"/>
      <c r="AU841" s="140"/>
      <c r="AV841" s="140"/>
      <c r="AW841" s="140"/>
      <c r="AX841" s="140"/>
      <c r="AY841" s="140"/>
      <c r="AZ841" s="140"/>
      <c r="BA841" s="140"/>
      <c r="BB841" s="140"/>
      <c r="BC841" s="140"/>
      <c r="BD841" s="140"/>
      <c r="BE841" s="140"/>
    </row>
    <row r="842" s="119" customFormat="1" ht="24" customHeight="1" outlineLevel="1" spans="1:57">
      <c r="A842" s="141"/>
      <c r="B842" s="14" t="s">
        <v>73</v>
      </c>
      <c r="C842" s="15"/>
      <c r="D842" s="142"/>
      <c r="E842" s="143"/>
      <c r="F842" s="143"/>
      <c r="G842" s="143"/>
      <c r="H842" s="143"/>
      <c r="I842" s="143"/>
      <c r="J842" s="143"/>
      <c r="K842" s="144"/>
      <c r="L842" s="178"/>
      <c r="M842" s="139"/>
      <c r="N842" s="139"/>
      <c r="O842" s="139"/>
      <c r="P842" s="137"/>
      <c r="Q842" s="137"/>
      <c r="R842" s="138"/>
      <c r="S842" s="137"/>
      <c r="T842" s="137"/>
      <c r="U842" s="137"/>
      <c r="V842" s="137"/>
      <c r="W842" s="139"/>
      <c r="X842" s="139"/>
      <c r="Y842" s="139"/>
      <c r="Z842" s="139"/>
      <c r="AA842" s="139"/>
      <c r="AB842" s="139"/>
      <c r="AC842" s="139"/>
      <c r="AD842" s="139"/>
      <c r="AE842" s="139"/>
      <c r="AF842" s="140"/>
      <c r="AG842" s="140"/>
      <c r="AH842" s="140"/>
      <c r="AI842" s="140"/>
      <c r="AJ842" s="140"/>
      <c r="AK842" s="140"/>
      <c r="AL842" s="140"/>
      <c r="AM842" s="140"/>
      <c r="AN842" s="140"/>
      <c r="AO842" s="140"/>
      <c r="AP842" s="140"/>
      <c r="AQ842" s="140"/>
      <c r="AR842" s="140"/>
      <c r="AS842" s="140"/>
      <c r="AT842" s="140"/>
      <c r="AU842" s="140"/>
      <c r="AV842" s="140"/>
      <c r="AW842" s="140"/>
      <c r="AX842" s="140"/>
      <c r="AY842" s="140"/>
      <c r="AZ842" s="140"/>
      <c r="BA842" s="140"/>
      <c r="BB842" s="140"/>
      <c r="BC842" s="140"/>
      <c r="BD842" s="140"/>
      <c r="BE842" s="140"/>
    </row>
    <row r="843" s="119" customFormat="1" ht="96" customHeight="1" outlineLevel="2" spans="1:57">
      <c r="A843" s="162">
        <f t="shared" ref="A843:A850" si="261">1+N(A842)</f>
        <v>1</v>
      </c>
      <c r="B843" s="14" t="s">
        <v>76</v>
      </c>
      <c r="C843" s="15" t="s">
        <v>258</v>
      </c>
      <c r="D843" s="142" t="s">
        <v>63</v>
      </c>
      <c r="E843" s="143">
        <v>8.924</v>
      </c>
      <c r="F843" s="143">
        <f>$F$459</f>
        <v>140</v>
      </c>
      <c r="G843" s="143">
        <f>$G$459</f>
        <v>682.5</v>
      </c>
      <c r="H843" s="143">
        <f>$H$459</f>
        <v>113.55</v>
      </c>
      <c r="I843" s="17">
        <f t="shared" ref="I843:I850" si="262">(F843+G843+H843)*$I$3</f>
        <v>93.605</v>
      </c>
      <c r="J843" s="18">
        <f t="shared" ref="J843:J850" si="263">ROUND(SUM(F843:I843),2)</f>
        <v>1029.66</v>
      </c>
      <c r="K843" s="19">
        <f t="shared" ref="K843:K850" si="264">ROUND(J843*E843,2)</f>
        <v>9188.69</v>
      </c>
      <c r="L843" s="178"/>
      <c r="M843" s="139">
        <v>1</v>
      </c>
      <c r="N843" s="139">
        <v>8353.31</v>
      </c>
      <c r="O843" s="139"/>
      <c r="P843" s="37">
        <f t="shared" ref="P843:P850" si="265">Q843+Q843*R843+S843+T843+U843</f>
        <v>936.05</v>
      </c>
      <c r="Q843" s="99">
        <f>$Q$459</f>
        <v>650</v>
      </c>
      <c r="R843" s="163">
        <f>$R$459</f>
        <v>0.05</v>
      </c>
      <c r="S843" s="99">
        <f>$S$459</f>
        <v>140</v>
      </c>
      <c r="T843" s="99">
        <f>$T$459</f>
        <v>111.75</v>
      </c>
      <c r="U843" s="99">
        <f>$U$459</f>
        <v>1.8</v>
      </c>
      <c r="V843" s="37">
        <f t="shared" ref="V843:V850" si="266">P843*E843</f>
        <v>8353.3102</v>
      </c>
      <c r="W843" s="139"/>
      <c r="X843" s="139"/>
      <c r="Y843" s="139"/>
      <c r="Z843" s="139"/>
      <c r="AA843" s="139"/>
      <c r="AB843" s="139"/>
      <c r="AC843" s="139"/>
      <c r="AD843" s="139"/>
      <c r="AE843" s="139"/>
      <c r="AF843" s="140"/>
      <c r="AG843" s="140"/>
      <c r="AH843" s="140"/>
      <c r="AI843" s="140"/>
      <c r="AJ843" s="140"/>
      <c r="AK843" s="140"/>
      <c r="AL843" s="140"/>
      <c r="AM843" s="140"/>
      <c r="AN843" s="140"/>
      <c r="AO843" s="140"/>
      <c r="AP843" s="140"/>
      <c r="AQ843" s="140"/>
      <c r="AR843" s="140"/>
      <c r="AS843" s="140"/>
      <c r="AT843" s="140"/>
      <c r="AU843" s="140"/>
      <c r="AV843" s="140"/>
      <c r="AW843" s="140"/>
      <c r="AX843" s="140"/>
      <c r="AY843" s="140"/>
      <c r="AZ843" s="140"/>
      <c r="BA843" s="140"/>
      <c r="BB843" s="140"/>
      <c r="BC843" s="140"/>
      <c r="BD843" s="140"/>
      <c r="BE843" s="140"/>
    </row>
    <row r="844" s="119" customFormat="1" ht="60" customHeight="1" outlineLevel="2" spans="1:57">
      <c r="A844" s="162">
        <f t="shared" si="261"/>
        <v>2</v>
      </c>
      <c r="B844" s="14" t="s">
        <v>260</v>
      </c>
      <c r="C844" s="15" t="s">
        <v>261</v>
      </c>
      <c r="D844" s="142" t="s">
        <v>63</v>
      </c>
      <c r="E844" s="143">
        <v>7.004</v>
      </c>
      <c r="F844" s="143">
        <f>$F$487</f>
        <v>75</v>
      </c>
      <c r="G844" s="143">
        <f>$G$487</f>
        <v>597.4</v>
      </c>
      <c r="H844" s="143">
        <f>$H$487</f>
        <v>124.95</v>
      </c>
      <c r="I844" s="17">
        <f t="shared" si="262"/>
        <v>79.735</v>
      </c>
      <c r="J844" s="18">
        <f t="shared" si="263"/>
        <v>877.09</v>
      </c>
      <c r="K844" s="19">
        <f t="shared" si="264"/>
        <v>6143.14</v>
      </c>
      <c r="L844" s="178"/>
      <c r="M844" s="139">
        <v>1</v>
      </c>
      <c r="N844" s="139">
        <v>5584.64</v>
      </c>
      <c r="O844" s="139"/>
      <c r="P844" s="37">
        <f t="shared" si="265"/>
        <v>797.35</v>
      </c>
      <c r="Q844" s="99">
        <f>$Q$487</f>
        <v>580</v>
      </c>
      <c r="R844" s="163">
        <f>$R$487</f>
        <v>0.03</v>
      </c>
      <c r="S844" s="99">
        <f>$S$487</f>
        <v>75</v>
      </c>
      <c r="T844" s="99">
        <f>$T$487</f>
        <v>123.75</v>
      </c>
      <c r="U844" s="99">
        <f>$U$487</f>
        <v>1.2</v>
      </c>
      <c r="V844" s="37">
        <f t="shared" si="266"/>
        <v>5584.6394</v>
      </c>
      <c r="W844" s="139"/>
      <c r="X844" s="139"/>
      <c r="Y844" s="139"/>
      <c r="Z844" s="139"/>
      <c r="AA844" s="139"/>
      <c r="AB844" s="139"/>
      <c r="AC844" s="139"/>
      <c r="AD844" s="139"/>
      <c r="AE844" s="139"/>
      <c r="AF844" s="140"/>
      <c r="AG844" s="140"/>
      <c r="AH844" s="140"/>
      <c r="AI844" s="140"/>
      <c r="AJ844" s="140"/>
      <c r="AK844" s="140"/>
      <c r="AL844" s="140"/>
      <c r="AM844" s="140"/>
      <c r="AN844" s="140"/>
      <c r="AO844" s="140"/>
      <c r="AP844" s="140"/>
      <c r="AQ844" s="140"/>
      <c r="AR844" s="140"/>
      <c r="AS844" s="140"/>
      <c r="AT844" s="140"/>
      <c r="AU844" s="140"/>
      <c r="AV844" s="140"/>
      <c r="AW844" s="140"/>
      <c r="AX844" s="140"/>
      <c r="AY844" s="140"/>
      <c r="AZ844" s="140"/>
      <c r="BA844" s="140"/>
      <c r="BB844" s="140"/>
      <c r="BC844" s="140"/>
      <c r="BD844" s="140"/>
      <c r="BE844" s="140"/>
    </row>
    <row r="845" s="119" customFormat="1" ht="60" customHeight="1" outlineLevel="2" spans="1:57">
      <c r="A845" s="162">
        <f t="shared" si="261"/>
        <v>3</v>
      </c>
      <c r="B845" s="14" t="s">
        <v>174</v>
      </c>
      <c r="C845" s="15" t="s">
        <v>262</v>
      </c>
      <c r="D845" s="142" t="s">
        <v>63</v>
      </c>
      <c r="E845" s="143">
        <v>9.179</v>
      </c>
      <c r="F845" s="143">
        <f>$F$463</f>
        <v>110</v>
      </c>
      <c r="G845" s="143">
        <f>$G$463</f>
        <v>87.55</v>
      </c>
      <c r="H845" s="143">
        <f>$H$463</f>
        <v>126.35</v>
      </c>
      <c r="I845" s="17">
        <f t="shared" si="262"/>
        <v>32.39</v>
      </c>
      <c r="J845" s="18">
        <f t="shared" si="263"/>
        <v>356.29</v>
      </c>
      <c r="K845" s="19">
        <f t="shared" si="264"/>
        <v>3270.39</v>
      </c>
      <c r="L845" s="178"/>
      <c r="M845" s="139">
        <v>1</v>
      </c>
      <c r="N845" s="139">
        <v>2973.08</v>
      </c>
      <c r="O845" s="139"/>
      <c r="P845" s="37">
        <f t="shared" si="265"/>
        <v>323.9</v>
      </c>
      <c r="Q845" s="99">
        <f>$Q$463</f>
        <v>85</v>
      </c>
      <c r="R845" s="163">
        <f>$R$463</f>
        <v>0.03</v>
      </c>
      <c r="S845" s="99">
        <f>$S$463</f>
        <v>110</v>
      </c>
      <c r="T845" s="99">
        <f>$T$463</f>
        <v>125.75</v>
      </c>
      <c r="U845" s="99">
        <f>$U$463</f>
        <v>0.6</v>
      </c>
      <c r="V845" s="37">
        <f t="shared" si="266"/>
        <v>2973.0781</v>
      </c>
      <c r="W845" s="139"/>
      <c r="X845" s="139"/>
      <c r="Y845" s="139"/>
      <c r="Z845" s="139"/>
      <c r="AA845" s="139"/>
      <c r="AB845" s="139"/>
      <c r="AC845" s="139"/>
      <c r="AD845" s="139"/>
      <c r="AE845" s="139"/>
      <c r="AF845" s="140"/>
      <c r="AG845" s="140"/>
      <c r="AH845" s="140"/>
      <c r="AI845" s="140"/>
      <c r="AJ845" s="140"/>
      <c r="AK845" s="140"/>
      <c r="AL845" s="140"/>
      <c r="AM845" s="140"/>
      <c r="AN845" s="140"/>
      <c r="AO845" s="140"/>
      <c r="AP845" s="140"/>
      <c r="AQ845" s="140"/>
      <c r="AR845" s="140"/>
      <c r="AS845" s="140"/>
      <c r="AT845" s="140"/>
      <c r="AU845" s="140"/>
      <c r="AV845" s="140"/>
      <c r="AW845" s="140"/>
      <c r="AX845" s="140"/>
      <c r="AY845" s="140"/>
      <c r="AZ845" s="140"/>
      <c r="BA845" s="140"/>
      <c r="BB845" s="140"/>
      <c r="BC845" s="140"/>
      <c r="BD845" s="140"/>
      <c r="BE845" s="140"/>
    </row>
    <row r="846" s="119" customFormat="1" ht="36" customHeight="1" outlineLevel="2" spans="1:57">
      <c r="A846" s="145">
        <f t="shared" si="261"/>
        <v>4</v>
      </c>
      <c r="B846" s="146" t="s">
        <v>400</v>
      </c>
      <c r="C846" s="147" t="s">
        <v>401</v>
      </c>
      <c r="D846" s="148" t="s">
        <v>63</v>
      </c>
      <c r="E846" s="149">
        <v>14.626</v>
      </c>
      <c r="F846" s="149">
        <f>S846*$S$1</f>
        <v>76.5</v>
      </c>
      <c r="G846" s="149">
        <f>Q846*(1+R846)*$Q$1</f>
        <v>457.7</v>
      </c>
      <c r="H846" s="149">
        <f>(T846+U846)*$T$1</f>
        <v>57</v>
      </c>
      <c r="I846" s="150">
        <f t="shared" si="262"/>
        <v>59.12</v>
      </c>
      <c r="J846" s="151">
        <f t="shared" si="263"/>
        <v>650.32</v>
      </c>
      <c r="K846" s="152">
        <f t="shared" si="264"/>
        <v>9511.58</v>
      </c>
      <c r="L846" s="178"/>
      <c r="M846" s="139">
        <v>1</v>
      </c>
      <c r="N846" s="139">
        <v>8646.89</v>
      </c>
      <c r="O846" s="139"/>
      <c r="P846" s="37">
        <f t="shared" si="265"/>
        <v>591.2</v>
      </c>
      <c r="Q846" s="71">
        <v>398</v>
      </c>
      <c r="R846" s="157">
        <v>0.15</v>
      </c>
      <c r="S846" s="71">
        <v>76.5</v>
      </c>
      <c r="T846" s="71">
        <v>56.5</v>
      </c>
      <c r="U846" s="71">
        <v>0.5</v>
      </c>
      <c r="V846" s="37">
        <f t="shared" si="266"/>
        <v>8646.8912</v>
      </c>
      <c r="W846" s="139"/>
      <c r="X846" s="139"/>
      <c r="Y846" s="139"/>
      <c r="Z846" s="139"/>
      <c r="AA846" s="139"/>
      <c r="AB846" s="139"/>
      <c r="AC846" s="139"/>
      <c r="AD846" s="139"/>
      <c r="AE846" s="139"/>
      <c r="AF846" s="140"/>
      <c r="AG846" s="140"/>
      <c r="AH846" s="140"/>
      <c r="AI846" s="140"/>
      <c r="AJ846" s="140"/>
      <c r="AK846" s="140"/>
      <c r="AL846" s="140"/>
      <c r="AM846" s="140"/>
      <c r="AN846" s="140"/>
      <c r="AO846" s="140"/>
      <c r="AP846" s="140"/>
      <c r="AQ846" s="140"/>
      <c r="AR846" s="140"/>
      <c r="AS846" s="140"/>
      <c r="AT846" s="140"/>
      <c r="AU846" s="140"/>
      <c r="AV846" s="140"/>
      <c r="AW846" s="140"/>
      <c r="AX846" s="140"/>
      <c r="AY846" s="140"/>
      <c r="AZ846" s="140"/>
      <c r="BA846" s="140"/>
      <c r="BB846" s="140"/>
      <c r="BC846" s="140"/>
      <c r="BD846" s="140"/>
      <c r="BE846" s="140"/>
    </row>
    <row r="847" s="119" customFormat="1" ht="24" customHeight="1" outlineLevel="2" spans="1:57">
      <c r="A847" s="162">
        <f t="shared" si="261"/>
        <v>5</v>
      </c>
      <c r="B847" s="14" t="s">
        <v>193</v>
      </c>
      <c r="C847" s="15" t="s">
        <v>194</v>
      </c>
      <c r="D847" s="142" t="s">
        <v>63</v>
      </c>
      <c r="E847" s="143">
        <v>41.098</v>
      </c>
      <c r="F847" s="143">
        <f>$F$219</f>
        <v>18</v>
      </c>
      <c r="G847" s="143">
        <f>$G$219</f>
        <v>22.725</v>
      </c>
      <c r="H847" s="143">
        <f>$H$219</f>
        <v>0.3</v>
      </c>
      <c r="I847" s="17">
        <f t="shared" si="262"/>
        <v>4.1025</v>
      </c>
      <c r="J847" s="18">
        <f t="shared" si="263"/>
        <v>45.13</v>
      </c>
      <c r="K847" s="19">
        <f t="shared" si="264"/>
        <v>1854.75</v>
      </c>
      <c r="L847" s="178"/>
      <c r="M847" s="139">
        <v>1</v>
      </c>
      <c r="N847" s="139">
        <v>1686.25</v>
      </c>
      <c r="O847" s="139"/>
      <c r="P847" s="37">
        <f t="shared" si="265"/>
        <v>41.025</v>
      </c>
      <c r="Q847" s="99">
        <f>$Q$219</f>
        <v>22.5</v>
      </c>
      <c r="R847" s="163">
        <f>$R$219</f>
        <v>0.01</v>
      </c>
      <c r="S847" s="99">
        <f>$S$219</f>
        <v>18</v>
      </c>
      <c r="T847" s="99">
        <f>$T$219</f>
        <v>0</v>
      </c>
      <c r="U847" s="99">
        <f>$U$219</f>
        <v>0.3</v>
      </c>
      <c r="V847" s="37">
        <f t="shared" si="266"/>
        <v>1686.04545</v>
      </c>
      <c r="W847" s="139"/>
      <c r="X847" s="139"/>
      <c r="Y847" s="139"/>
      <c r="Z847" s="139"/>
      <c r="AA847" s="139"/>
      <c r="AB847" s="139"/>
      <c r="AC847" s="139"/>
      <c r="AD847" s="139"/>
      <c r="AE847" s="139"/>
      <c r="AF847" s="140"/>
      <c r="AG847" s="140"/>
      <c r="AH847" s="140"/>
      <c r="AI847" s="140"/>
      <c r="AJ847" s="140"/>
      <c r="AK847" s="140"/>
      <c r="AL847" s="140"/>
      <c r="AM847" s="140"/>
      <c r="AN847" s="140"/>
      <c r="AO847" s="140"/>
      <c r="AP847" s="140"/>
      <c r="AQ847" s="140"/>
      <c r="AR847" s="140"/>
      <c r="AS847" s="140"/>
      <c r="AT847" s="140"/>
      <c r="AU847" s="140"/>
      <c r="AV847" s="140"/>
      <c r="AW847" s="140"/>
      <c r="AX847" s="140"/>
      <c r="AY847" s="140"/>
      <c r="AZ847" s="140"/>
      <c r="BA847" s="140"/>
      <c r="BB847" s="140"/>
      <c r="BC847" s="140"/>
      <c r="BD847" s="140"/>
      <c r="BE847" s="140"/>
    </row>
    <row r="848" s="119" customFormat="1" ht="48" customHeight="1" outlineLevel="2" spans="1:57">
      <c r="A848" s="162">
        <f t="shared" si="261"/>
        <v>6</v>
      </c>
      <c r="B848" s="14" t="s">
        <v>82</v>
      </c>
      <c r="C848" s="15" t="s">
        <v>83</v>
      </c>
      <c r="D848" s="142" t="s">
        <v>63</v>
      </c>
      <c r="E848" s="143">
        <f>0.252*3.4*2</f>
        <v>1.7136</v>
      </c>
      <c r="F848" s="143">
        <f>$F$17</f>
        <v>110</v>
      </c>
      <c r="G848" s="143">
        <f>$G$17</f>
        <v>454.5</v>
      </c>
      <c r="H848" s="143">
        <f>$H$17</f>
        <v>55.2</v>
      </c>
      <c r="I848" s="17">
        <f t="shared" si="262"/>
        <v>61.97</v>
      </c>
      <c r="J848" s="18">
        <f t="shared" si="263"/>
        <v>681.67</v>
      </c>
      <c r="K848" s="19">
        <f t="shared" si="264"/>
        <v>1168.11</v>
      </c>
      <c r="L848" s="178"/>
      <c r="M848" s="139">
        <v>1</v>
      </c>
      <c r="N848" s="139">
        <v>1061.92</v>
      </c>
      <c r="O848" s="139"/>
      <c r="P848" s="37">
        <f t="shared" si="265"/>
        <v>619.7</v>
      </c>
      <c r="Q848" s="99">
        <f>$Q$17</f>
        <v>450</v>
      </c>
      <c r="R848" s="163">
        <f>$R$17</f>
        <v>0.01</v>
      </c>
      <c r="S848" s="99">
        <f>$S$17</f>
        <v>110</v>
      </c>
      <c r="T848" s="99">
        <f>$T$17</f>
        <v>54</v>
      </c>
      <c r="U848" s="99">
        <f>$U$17</f>
        <v>1.2</v>
      </c>
      <c r="V848" s="37">
        <f t="shared" si="266"/>
        <v>1061.91792</v>
      </c>
      <c r="W848" s="139"/>
      <c r="X848" s="139"/>
      <c r="Y848" s="139"/>
      <c r="Z848" s="139"/>
      <c r="AA848" s="139"/>
      <c r="AB848" s="139"/>
      <c r="AC848" s="139"/>
      <c r="AD848" s="139"/>
      <c r="AE848" s="139"/>
      <c r="AF848" s="140"/>
      <c r="AG848" s="140"/>
      <c r="AH848" s="140"/>
      <c r="AI848" s="140"/>
      <c r="AJ848" s="140"/>
      <c r="AK848" s="140"/>
      <c r="AL848" s="140"/>
      <c r="AM848" s="140"/>
      <c r="AN848" s="140"/>
      <c r="AO848" s="140"/>
      <c r="AP848" s="140"/>
      <c r="AQ848" s="140"/>
      <c r="AR848" s="140"/>
      <c r="AS848" s="140"/>
      <c r="AT848" s="140"/>
      <c r="AU848" s="140"/>
      <c r="AV848" s="140"/>
      <c r="AW848" s="140"/>
      <c r="AX848" s="140"/>
      <c r="AY848" s="140"/>
      <c r="AZ848" s="140"/>
      <c r="BA848" s="140"/>
      <c r="BB848" s="140"/>
      <c r="BC848" s="140"/>
      <c r="BD848" s="140"/>
      <c r="BE848" s="140"/>
    </row>
    <row r="849" s="119" customFormat="1" ht="48" customHeight="1" outlineLevel="2" spans="1:57">
      <c r="A849" s="162">
        <f t="shared" si="261"/>
        <v>7</v>
      </c>
      <c r="B849" s="14" t="s">
        <v>91</v>
      </c>
      <c r="C849" s="15" t="s">
        <v>92</v>
      </c>
      <c r="D849" s="142" t="s">
        <v>70</v>
      </c>
      <c r="E849" s="143">
        <v>12.97</v>
      </c>
      <c r="F849" s="143">
        <f>$F$22</f>
        <v>12</v>
      </c>
      <c r="G849" s="143">
        <f>$G$22</f>
        <v>25.75</v>
      </c>
      <c r="H849" s="143">
        <f>$H$22</f>
        <v>3.8</v>
      </c>
      <c r="I849" s="17">
        <f t="shared" si="262"/>
        <v>4.155</v>
      </c>
      <c r="J849" s="18">
        <f t="shared" si="263"/>
        <v>45.71</v>
      </c>
      <c r="K849" s="19">
        <f t="shared" si="264"/>
        <v>592.86</v>
      </c>
      <c r="L849" s="178"/>
      <c r="M849" s="139">
        <v>1</v>
      </c>
      <c r="N849" s="139">
        <v>538.9</v>
      </c>
      <c r="O849" s="139"/>
      <c r="P849" s="37">
        <f t="shared" si="265"/>
        <v>41.55</v>
      </c>
      <c r="Q849" s="99">
        <f>$Q$22</f>
        <v>25</v>
      </c>
      <c r="R849" s="163">
        <f>$R$22</f>
        <v>0.03</v>
      </c>
      <c r="S849" s="99">
        <f>$S$22</f>
        <v>12</v>
      </c>
      <c r="T849" s="99">
        <f>$T$22</f>
        <v>3.5</v>
      </c>
      <c r="U849" s="99">
        <f>$U$22</f>
        <v>0.3</v>
      </c>
      <c r="V849" s="37">
        <f t="shared" si="266"/>
        <v>538.9035</v>
      </c>
      <c r="W849" s="139"/>
      <c r="X849" s="139"/>
      <c r="Y849" s="139"/>
      <c r="Z849" s="139"/>
      <c r="AA849" s="139"/>
      <c r="AB849" s="139"/>
      <c r="AC849" s="139"/>
      <c r="AD849" s="139"/>
      <c r="AE849" s="139"/>
      <c r="AF849" s="140"/>
      <c r="AG849" s="140"/>
      <c r="AH849" s="140"/>
      <c r="AI849" s="140"/>
      <c r="AJ849" s="140"/>
      <c r="AK849" s="140"/>
      <c r="AL849" s="140"/>
      <c r="AM849" s="140"/>
      <c r="AN849" s="140"/>
      <c r="AO849" s="140"/>
      <c r="AP849" s="140"/>
      <c r="AQ849" s="140"/>
      <c r="AR849" s="140"/>
      <c r="AS849" s="140"/>
      <c r="AT849" s="140"/>
      <c r="AU849" s="140"/>
      <c r="AV849" s="140"/>
      <c r="AW849" s="140"/>
      <c r="AX849" s="140"/>
      <c r="AY849" s="140"/>
      <c r="AZ849" s="140"/>
      <c r="BA849" s="140"/>
      <c r="BB849" s="140"/>
      <c r="BC849" s="140"/>
      <c r="BD849" s="140"/>
      <c r="BE849" s="140"/>
    </row>
    <row r="850" s="119" customFormat="1" ht="36" customHeight="1" outlineLevel="2" spans="1:57">
      <c r="A850" s="162">
        <f t="shared" si="261"/>
        <v>8</v>
      </c>
      <c r="B850" s="14" t="s">
        <v>239</v>
      </c>
      <c r="C850" s="15" t="s">
        <v>240</v>
      </c>
      <c r="D850" s="165" t="s">
        <v>63</v>
      </c>
      <c r="E850" s="143">
        <f>7.61*0.095</f>
        <v>0.72295</v>
      </c>
      <c r="F850" s="143">
        <f>$F$356</f>
        <v>110</v>
      </c>
      <c r="G850" s="143">
        <f>$G$356</f>
        <v>454.5</v>
      </c>
      <c r="H850" s="143">
        <f>$H$356</f>
        <v>55.2</v>
      </c>
      <c r="I850" s="17">
        <f t="shared" si="262"/>
        <v>61.97</v>
      </c>
      <c r="J850" s="18">
        <f t="shared" si="263"/>
        <v>681.67</v>
      </c>
      <c r="K850" s="19">
        <f t="shared" si="264"/>
        <v>492.81</v>
      </c>
      <c r="L850" s="178"/>
      <c r="M850" s="139">
        <v>1</v>
      </c>
      <c r="N850" s="139">
        <v>448.01</v>
      </c>
      <c r="O850" s="139"/>
      <c r="P850" s="37">
        <f t="shared" si="265"/>
        <v>619.7</v>
      </c>
      <c r="Q850" s="99">
        <f>$Q$356</f>
        <v>450</v>
      </c>
      <c r="R850" s="163">
        <f>$R$356</f>
        <v>0.01</v>
      </c>
      <c r="S850" s="99">
        <f>$S$356</f>
        <v>110</v>
      </c>
      <c r="T850" s="99">
        <f>$T$356</f>
        <v>54</v>
      </c>
      <c r="U850" s="99">
        <f>$U$356</f>
        <v>1.2</v>
      </c>
      <c r="V850" s="37">
        <f t="shared" si="266"/>
        <v>448.012115</v>
      </c>
      <c r="W850" s="139"/>
      <c r="X850" s="139"/>
      <c r="Y850" s="139"/>
      <c r="Z850" s="139"/>
      <c r="AA850" s="139"/>
      <c r="AB850" s="139"/>
      <c r="AC850" s="139"/>
      <c r="AD850" s="139"/>
      <c r="AE850" s="139"/>
      <c r="AF850" s="140"/>
      <c r="AG850" s="140"/>
      <c r="AH850" s="140"/>
      <c r="AI850" s="140"/>
      <c r="AJ850" s="140"/>
      <c r="AK850" s="140"/>
      <c r="AL850" s="140"/>
      <c r="AM850" s="140"/>
      <c r="AN850" s="140"/>
      <c r="AO850" s="140"/>
      <c r="AP850" s="140"/>
      <c r="AQ850" s="140"/>
      <c r="AR850" s="140"/>
      <c r="AS850" s="140"/>
      <c r="AT850" s="140"/>
      <c r="AU850" s="140"/>
      <c r="AV850" s="140"/>
      <c r="AW850" s="140"/>
      <c r="AX850" s="140"/>
      <c r="AY850" s="140"/>
      <c r="AZ850" s="140"/>
      <c r="BA850" s="140"/>
      <c r="BB850" s="140"/>
      <c r="BC850" s="140"/>
      <c r="BD850" s="140"/>
      <c r="BE850" s="140"/>
    </row>
    <row r="851" s="119" customFormat="1" ht="24" customHeight="1" outlineLevel="1" spans="1:57">
      <c r="A851" s="141"/>
      <c r="B851" s="14" t="s">
        <v>101</v>
      </c>
      <c r="C851" s="15"/>
      <c r="D851" s="142"/>
      <c r="E851" s="143"/>
      <c r="F851" s="143"/>
      <c r="G851" s="143"/>
      <c r="H851" s="143"/>
      <c r="I851" s="143"/>
      <c r="J851" s="143"/>
      <c r="K851" s="144"/>
      <c r="L851" s="178"/>
      <c r="M851" s="139"/>
      <c r="N851" s="139"/>
      <c r="O851" s="139"/>
      <c r="P851" s="137"/>
      <c r="Q851" s="137"/>
      <c r="R851" s="138"/>
      <c r="S851" s="137"/>
      <c r="T851" s="137"/>
      <c r="U851" s="137"/>
      <c r="V851" s="137"/>
      <c r="W851" s="139"/>
      <c r="X851" s="139"/>
      <c r="Y851" s="139"/>
      <c r="Z851" s="139"/>
      <c r="AA851" s="139"/>
      <c r="AB851" s="139"/>
      <c r="AC851" s="139"/>
      <c r="AD851" s="139"/>
      <c r="AE851" s="139"/>
      <c r="AF851" s="140"/>
      <c r="AG851" s="140"/>
      <c r="AH851" s="140"/>
      <c r="AI851" s="140"/>
      <c r="AJ851" s="140"/>
      <c r="AK851" s="140"/>
      <c r="AL851" s="140"/>
      <c r="AM851" s="140"/>
      <c r="AN851" s="140"/>
      <c r="AO851" s="140"/>
      <c r="AP851" s="140"/>
      <c r="AQ851" s="140"/>
      <c r="AR851" s="140"/>
      <c r="AS851" s="140"/>
      <c r="AT851" s="140"/>
      <c r="AU851" s="140"/>
      <c r="AV851" s="140"/>
      <c r="AW851" s="140"/>
      <c r="AX851" s="140"/>
      <c r="AY851" s="140"/>
      <c r="AZ851" s="140"/>
      <c r="BA851" s="140"/>
      <c r="BB851" s="140"/>
      <c r="BC851" s="140"/>
      <c r="BD851" s="140"/>
      <c r="BE851" s="140"/>
    </row>
    <row r="852" s="119" customFormat="1" ht="96" customHeight="1" outlineLevel="2" spans="1:57">
      <c r="A852" s="162">
        <f>1+N(A851)</f>
        <v>1</v>
      </c>
      <c r="B852" s="14" t="s">
        <v>102</v>
      </c>
      <c r="C852" s="167" t="s">
        <v>103</v>
      </c>
      <c r="D852" s="142" t="s">
        <v>63</v>
      </c>
      <c r="E852" s="143">
        <v>6.6</v>
      </c>
      <c r="F852" s="143">
        <f>$F$28</f>
        <v>70</v>
      </c>
      <c r="G852" s="143">
        <f>$G$28</f>
        <v>0</v>
      </c>
      <c r="H852" s="143">
        <f>$H$28</f>
        <v>66.711</v>
      </c>
      <c r="I852" s="17">
        <f>(F852+G852+H852)*$I$3</f>
        <v>13.6711</v>
      </c>
      <c r="J852" s="18">
        <f>ROUND(SUM(F852:I852),2)</f>
        <v>150.38</v>
      </c>
      <c r="K852" s="19">
        <f>ROUND(J852*E852,2)</f>
        <v>992.51</v>
      </c>
      <c r="L852" s="178"/>
      <c r="M852" s="139">
        <v>1</v>
      </c>
      <c r="N852" s="139">
        <v>902.29</v>
      </c>
      <c r="O852" s="139"/>
      <c r="P852" s="37">
        <f>Q852+Q852*R852+S852+T852+U852</f>
        <v>136.711</v>
      </c>
      <c r="Q852" s="99">
        <f>$Q$28</f>
        <v>0</v>
      </c>
      <c r="R852" s="163">
        <f>$R$28</f>
        <v>0.01</v>
      </c>
      <c r="S852" s="99">
        <f>$S$28</f>
        <v>70</v>
      </c>
      <c r="T852" s="99">
        <f>$T$28</f>
        <v>64.711</v>
      </c>
      <c r="U852" s="99">
        <f>$U$28</f>
        <v>2</v>
      </c>
      <c r="V852" s="37">
        <f>P852*E852</f>
        <v>902.2926</v>
      </c>
      <c r="W852" s="139"/>
      <c r="X852" s="139"/>
      <c r="Y852" s="139"/>
      <c r="Z852" s="139"/>
      <c r="AA852" s="139"/>
      <c r="AB852" s="139"/>
      <c r="AC852" s="139"/>
      <c r="AD852" s="139"/>
      <c r="AE852" s="139"/>
      <c r="AF852" s="140"/>
      <c r="AG852" s="140"/>
      <c r="AH852" s="140"/>
      <c r="AI852" s="140"/>
      <c r="AJ852" s="140"/>
      <c r="AK852" s="140"/>
      <c r="AL852" s="140"/>
      <c r="AM852" s="140"/>
      <c r="AN852" s="140"/>
      <c r="AO852" s="140"/>
      <c r="AP852" s="140"/>
      <c r="AQ852" s="140"/>
      <c r="AR852" s="140"/>
      <c r="AS852" s="140"/>
      <c r="AT852" s="140"/>
      <c r="AU852" s="140"/>
      <c r="AV852" s="140"/>
      <c r="AW852" s="140"/>
      <c r="AX852" s="140"/>
      <c r="AY852" s="140"/>
      <c r="AZ852" s="140"/>
      <c r="BA852" s="140"/>
      <c r="BB852" s="140"/>
      <c r="BC852" s="140"/>
      <c r="BD852" s="140"/>
      <c r="BE852" s="140"/>
    </row>
    <row r="853" s="119" customFormat="1" ht="72" customHeight="1" outlineLevel="2" spans="1:57">
      <c r="A853" s="162">
        <f>1+N(A852)</f>
        <v>2</v>
      </c>
      <c r="B853" s="14" t="s">
        <v>104</v>
      </c>
      <c r="C853" s="15" t="s">
        <v>105</v>
      </c>
      <c r="D853" s="142" t="s">
        <v>70</v>
      </c>
      <c r="E853" s="143">
        <v>2.6</v>
      </c>
      <c r="F853" s="143">
        <f>$F$29</f>
        <v>50</v>
      </c>
      <c r="G853" s="143">
        <f>$G$29</f>
        <v>0</v>
      </c>
      <c r="H853" s="143">
        <f>$H$29</f>
        <v>22.0941</v>
      </c>
      <c r="I853" s="17">
        <f>(F853+G853+H853)*$I$3</f>
        <v>7.20941</v>
      </c>
      <c r="J853" s="18">
        <f>ROUND(SUM(F853:I853),2)</f>
        <v>79.3</v>
      </c>
      <c r="K853" s="19">
        <f>ROUND(J853*E853,2)</f>
        <v>206.18</v>
      </c>
      <c r="L853" s="178"/>
      <c r="M853" s="139">
        <v>1</v>
      </c>
      <c r="N853" s="139">
        <v>187.43</v>
      </c>
      <c r="O853" s="139"/>
      <c r="P853" s="37">
        <f>Q853+Q853*R853+S853+T853+U853</f>
        <v>72.0941</v>
      </c>
      <c r="Q853" s="99">
        <f>$Q$29</f>
        <v>0</v>
      </c>
      <c r="R853" s="163">
        <f>$R$29</f>
        <v>0.01</v>
      </c>
      <c r="S853" s="99">
        <f>$S$29</f>
        <v>50</v>
      </c>
      <c r="T853" s="99">
        <f>$T$29</f>
        <v>22.0941</v>
      </c>
      <c r="U853" s="99">
        <f>$U$29</f>
        <v>0</v>
      </c>
      <c r="V853" s="37">
        <f>P853*E853</f>
        <v>187.44466</v>
      </c>
      <c r="W853" s="139"/>
      <c r="X853" s="139"/>
      <c r="Y853" s="139"/>
      <c r="Z853" s="139"/>
      <c r="AA853" s="139"/>
      <c r="AB853" s="139"/>
      <c r="AC853" s="139"/>
      <c r="AD853" s="139"/>
      <c r="AE853" s="139"/>
      <c r="AF853" s="140"/>
      <c r="AG853" s="140"/>
      <c r="AH853" s="140"/>
      <c r="AI853" s="140"/>
      <c r="AJ853" s="140"/>
      <c r="AK853" s="140"/>
      <c r="AL853" s="140"/>
      <c r="AM853" s="140"/>
      <c r="AN853" s="140"/>
      <c r="AO853" s="140"/>
      <c r="AP853" s="140"/>
      <c r="AQ853" s="140"/>
      <c r="AR853" s="140"/>
      <c r="AS853" s="140"/>
      <c r="AT853" s="140"/>
      <c r="AU853" s="140"/>
      <c r="AV853" s="140"/>
      <c r="AW853" s="140"/>
      <c r="AX853" s="140"/>
      <c r="AY853" s="140"/>
      <c r="AZ853" s="140"/>
      <c r="BA853" s="140"/>
      <c r="BB853" s="140"/>
      <c r="BC853" s="140"/>
      <c r="BD853" s="140"/>
      <c r="BE853" s="140"/>
    </row>
    <row r="854" s="119" customFormat="1" ht="72" customHeight="1" outlineLevel="2" spans="1:57">
      <c r="A854" s="162">
        <f>1+N(A853)</f>
        <v>3</v>
      </c>
      <c r="B854" s="14" t="s">
        <v>292</v>
      </c>
      <c r="C854" s="15" t="s">
        <v>293</v>
      </c>
      <c r="D854" s="142" t="s">
        <v>70</v>
      </c>
      <c r="E854" s="143">
        <f>1.2*2*1</f>
        <v>2.4</v>
      </c>
      <c r="F854" s="143">
        <f>$F$528</f>
        <v>30</v>
      </c>
      <c r="G854" s="143">
        <f>$G$528</f>
        <v>65.6625</v>
      </c>
      <c r="H854" s="143">
        <f>$H$528</f>
        <v>2.7</v>
      </c>
      <c r="I854" s="17">
        <f>(F854+G854+H854)*$I$3</f>
        <v>9.83625</v>
      </c>
      <c r="J854" s="18">
        <f>ROUND(SUM(F854:I854),2)</f>
        <v>108.2</v>
      </c>
      <c r="K854" s="19">
        <f>ROUND(J854*E854,2)</f>
        <v>259.68</v>
      </c>
      <c r="L854" s="178"/>
      <c r="M854" s="139">
        <v>1</v>
      </c>
      <c r="N854" s="139">
        <v>236.06</v>
      </c>
      <c r="O854" s="139"/>
      <c r="P854" s="37">
        <f>Q854+Q854*R854+S854+T854+U854</f>
        <v>98.3625</v>
      </c>
      <c r="Q854" s="99">
        <f>$Q$528</f>
        <v>63.75</v>
      </c>
      <c r="R854" s="163">
        <f>$R$528</f>
        <v>0.03</v>
      </c>
      <c r="S854" s="99">
        <f>$S$528</f>
        <v>30</v>
      </c>
      <c r="T854" s="99">
        <f>$T$528</f>
        <v>2.5</v>
      </c>
      <c r="U854" s="99">
        <f>$U$528</f>
        <v>0.2</v>
      </c>
      <c r="V854" s="37">
        <f>P854*E854</f>
        <v>236.07</v>
      </c>
      <c r="W854" s="139"/>
      <c r="X854" s="139"/>
      <c r="Y854" s="139"/>
      <c r="Z854" s="139"/>
      <c r="AA854" s="139"/>
      <c r="AB854" s="139"/>
      <c r="AC854" s="139"/>
      <c r="AD854" s="139"/>
      <c r="AE854" s="139"/>
      <c r="AF854" s="140"/>
      <c r="AG854" s="140"/>
      <c r="AH854" s="140"/>
      <c r="AI854" s="140"/>
      <c r="AJ854" s="140"/>
      <c r="AK854" s="140"/>
      <c r="AL854" s="140"/>
      <c r="AM854" s="140"/>
      <c r="AN854" s="140"/>
      <c r="AO854" s="140"/>
      <c r="AP854" s="140"/>
      <c r="AQ854" s="140"/>
      <c r="AR854" s="140"/>
      <c r="AS854" s="140"/>
      <c r="AT854" s="140"/>
      <c r="AU854" s="140"/>
      <c r="AV854" s="140"/>
      <c r="AW854" s="140"/>
      <c r="AX854" s="140"/>
      <c r="AY854" s="140"/>
      <c r="AZ854" s="140"/>
      <c r="BA854" s="140"/>
      <c r="BB854" s="140"/>
      <c r="BC854" s="140"/>
      <c r="BD854" s="140"/>
      <c r="BE854" s="140"/>
    </row>
    <row r="855" s="119" customFormat="1" ht="60" customHeight="1" outlineLevel="2" spans="1:57">
      <c r="A855" s="162">
        <f>1+N(A854)</f>
        <v>4</v>
      </c>
      <c r="B855" s="14" t="s">
        <v>145</v>
      </c>
      <c r="C855" s="15" t="s">
        <v>146</v>
      </c>
      <c r="D855" s="142" t="s">
        <v>63</v>
      </c>
      <c r="E855" s="143">
        <f>6.6+2.6*0.3</f>
        <v>7.38</v>
      </c>
      <c r="F855" s="143">
        <f>$F$122</f>
        <v>28.5</v>
      </c>
      <c r="G855" s="143">
        <f>$G$122</f>
        <v>5.5</v>
      </c>
      <c r="H855" s="143">
        <f>$H$122</f>
        <v>6.8</v>
      </c>
      <c r="I855" s="17">
        <f>(F855+G855+H855)*$I$3</f>
        <v>4.08</v>
      </c>
      <c r="J855" s="18">
        <f>ROUND(SUM(F855:I855),2)</f>
        <v>44.88</v>
      </c>
      <c r="K855" s="19">
        <f>ROUND(J855*E855,2)</f>
        <v>331.21</v>
      </c>
      <c r="L855" s="178"/>
      <c r="M855" s="139">
        <v>1</v>
      </c>
      <c r="N855" s="139">
        <v>301.1</v>
      </c>
      <c r="O855" s="139"/>
      <c r="P855" s="37">
        <f>Q855+Q855*R855+S855+T855+U855</f>
        <v>40.8</v>
      </c>
      <c r="Q855" s="99">
        <f>$Q$122</f>
        <v>5.5</v>
      </c>
      <c r="R855" s="163">
        <f>$R$122</f>
        <v>0</v>
      </c>
      <c r="S855" s="99">
        <f>$S$122</f>
        <v>28.5</v>
      </c>
      <c r="T855" s="99">
        <f>$T$122</f>
        <v>6.5</v>
      </c>
      <c r="U855" s="99">
        <f>$U$122</f>
        <v>0.3</v>
      </c>
      <c r="V855" s="37">
        <f>P855*E855</f>
        <v>301.104</v>
      </c>
      <c r="W855" s="139"/>
      <c r="X855" s="139"/>
      <c r="Y855" s="139"/>
      <c r="Z855" s="139"/>
      <c r="AA855" s="139"/>
      <c r="AB855" s="139"/>
      <c r="AC855" s="139"/>
      <c r="AD855" s="139"/>
      <c r="AE855" s="139"/>
      <c r="AF855" s="140"/>
      <c r="AG855" s="140"/>
      <c r="AH855" s="140"/>
      <c r="AI855" s="140"/>
      <c r="AJ855" s="140"/>
      <c r="AK855" s="140"/>
      <c r="AL855" s="140"/>
      <c r="AM855" s="140"/>
      <c r="AN855" s="140"/>
      <c r="AO855" s="140"/>
      <c r="AP855" s="140"/>
      <c r="AQ855" s="140"/>
      <c r="AR855" s="140"/>
      <c r="AS855" s="140"/>
      <c r="AT855" s="140"/>
      <c r="AU855" s="140"/>
      <c r="AV855" s="140"/>
      <c r="AW855" s="140"/>
      <c r="AX855" s="140"/>
      <c r="AY855" s="140"/>
      <c r="AZ855" s="140"/>
      <c r="BA855" s="140"/>
      <c r="BB855" s="140"/>
      <c r="BC855" s="140"/>
      <c r="BD855" s="140"/>
      <c r="BE855" s="140"/>
    </row>
    <row r="856" s="119" customFormat="1" ht="24" customHeight="1" outlineLevel="1" spans="1:57">
      <c r="A856" s="141"/>
      <c r="B856" s="14" t="s">
        <v>294</v>
      </c>
      <c r="C856" s="15"/>
      <c r="D856" s="142"/>
      <c r="E856" s="143"/>
      <c r="F856" s="143"/>
      <c r="G856" s="143"/>
      <c r="H856" s="143"/>
      <c r="I856" s="143"/>
      <c r="J856" s="143"/>
      <c r="K856" s="144"/>
      <c r="L856" s="178"/>
      <c r="M856" s="139"/>
      <c r="N856" s="139"/>
      <c r="O856" s="139"/>
      <c r="P856" s="137"/>
      <c r="Q856" s="137"/>
      <c r="R856" s="138"/>
      <c r="S856" s="137"/>
      <c r="T856" s="137"/>
      <c r="U856" s="137"/>
      <c r="V856" s="137"/>
      <c r="W856" s="139"/>
      <c r="X856" s="139"/>
      <c r="Y856" s="139"/>
      <c r="Z856" s="139"/>
      <c r="AA856" s="139"/>
      <c r="AB856" s="139"/>
      <c r="AC856" s="139"/>
      <c r="AD856" s="139"/>
      <c r="AE856" s="139"/>
      <c r="AF856" s="140"/>
      <c r="AG856" s="140"/>
      <c r="AH856" s="140"/>
      <c r="AI856" s="140"/>
      <c r="AJ856" s="140"/>
      <c r="AK856" s="140"/>
      <c r="AL856" s="140"/>
      <c r="AM856" s="140"/>
      <c r="AN856" s="140"/>
      <c r="AO856" s="140"/>
      <c r="AP856" s="140"/>
      <c r="AQ856" s="140"/>
      <c r="AR856" s="140"/>
      <c r="AS856" s="140"/>
      <c r="AT856" s="140"/>
      <c r="AU856" s="140"/>
      <c r="AV856" s="140"/>
      <c r="AW856" s="140"/>
      <c r="AX856" s="140"/>
      <c r="AY856" s="140"/>
      <c r="AZ856" s="140"/>
      <c r="BA856" s="140"/>
      <c r="BB856" s="140"/>
      <c r="BC856" s="140"/>
      <c r="BD856" s="140"/>
      <c r="BE856" s="140"/>
    </row>
    <row r="857" s="119" customFormat="1" ht="48" customHeight="1" outlineLevel="2" spans="1:57">
      <c r="A857" s="145">
        <f>1+N(A856)</f>
        <v>1</v>
      </c>
      <c r="B857" s="146" t="s">
        <v>402</v>
      </c>
      <c r="C857" s="147" t="s">
        <v>403</v>
      </c>
      <c r="D857" s="148" t="s">
        <v>63</v>
      </c>
      <c r="E857" s="149">
        <f>0.87*3.4</f>
        <v>2.958</v>
      </c>
      <c r="F857" s="149">
        <f>S857*$S$1</f>
        <v>145</v>
      </c>
      <c r="G857" s="149">
        <f>Q857*(1+R857)*$Q$1</f>
        <v>1350</v>
      </c>
      <c r="H857" s="149">
        <f>(T857+U857)*$T$1</f>
        <v>28.5</v>
      </c>
      <c r="I857" s="150">
        <f>(F857+G857+H857)*$I$3</f>
        <v>152.35</v>
      </c>
      <c r="J857" s="151">
        <f>ROUND(SUM(F857:I857),2)</f>
        <v>1675.85</v>
      </c>
      <c r="K857" s="152">
        <f>ROUND(J857*E857,2)</f>
        <v>4957.16</v>
      </c>
      <c r="L857" s="178"/>
      <c r="M857" s="139">
        <v>1</v>
      </c>
      <c r="N857" s="139">
        <v>4506.51</v>
      </c>
      <c r="O857" s="139"/>
      <c r="P857" s="37">
        <f>Q857+Q857*R857+S857+T857+U857</f>
        <v>1523.5</v>
      </c>
      <c r="Q857" s="71">
        <v>1350</v>
      </c>
      <c r="R857" s="157">
        <v>0</v>
      </c>
      <c r="S857" s="71">
        <v>145</v>
      </c>
      <c r="T857" s="71">
        <v>27</v>
      </c>
      <c r="U857" s="71">
        <v>1.5</v>
      </c>
      <c r="V857" s="37">
        <f>P857*E857</f>
        <v>4506.513</v>
      </c>
      <c r="W857" s="139"/>
      <c r="X857" s="139"/>
      <c r="Y857" s="139"/>
      <c r="Z857" s="139"/>
      <c r="AA857" s="139"/>
      <c r="AB857" s="139"/>
      <c r="AC857" s="139"/>
      <c r="AD857" s="139"/>
      <c r="AE857" s="139"/>
      <c r="AF857" s="140"/>
      <c r="AG857" s="140"/>
      <c r="AH857" s="140"/>
      <c r="AI857" s="140"/>
      <c r="AJ857" s="140"/>
      <c r="AK857" s="140"/>
      <c r="AL857" s="140"/>
      <c r="AM857" s="140"/>
      <c r="AN857" s="140"/>
      <c r="AO857" s="140"/>
      <c r="AP857" s="140"/>
      <c r="AQ857" s="140"/>
      <c r="AR857" s="140"/>
      <c r="AS857" s="140"/>
      <c r="AT857" s="140"/>
      <c r="AU857" s="140"/>
      <c r="AV857" s="140"/>
      <c r="AW857" s="140"/>
      <c r="AX857" s="140"/>
      <c r="AY857" s="140"/>
      <c r="AZ857" s="140"/>
      <c r="BA857" s="140"/>
      <c r="BB857" s="140"/>
      <c r="BC857" s="140"/>
      <c r="BD857" s="140"/>
      <c r="BE857" s="140"/>
    </row>
    <row r="858" s="119" customFormat="1" ht="84" customHeight="1" outlineLevel="2" spans="1:57">
      <c r="A858" s="145">
        <f>1+N(A857)</f>
        <v>2</v>
      </c>
      <c r="B858" s="146" t="s">
        <v>404</v>
      </c>
      <c r="C858" s="147" t="s">
        <v>405</v>
      </c>
      <c r="D858" s="148" t="s">
        <v>70</v>
      </c>
      <c r="E858" s="149">
        <v>0.9</v>
      </c>
      <c r="F858" s="149">
        <f>S858*$S$1</f>
        <v>85</v>
      </c>
      <c r="G858" s="149">
        <f>Q858*(1+R858)*$Q$1</f>
        <v>2010</v>
      </c>
      <c r="H858" s="149">
        <f>(T858+U858)*$T$1</f>
        <v>16.5</v>
      </c>
      <c r="I858" s="150">
        <f>(F858+G858+H858)*$I$3</f>
        <v>211.15</v>
      </c>
      <c r="J858" s="151">
        <f>ROUND(SUM(F858:I858),2)</f>
        <v>2322.65</v>
      </c>
      <c r="K858" s="152">
        <f>ROUND(J858*E858,2)</f>
        <v>2090.39</v>
      </c>
      <c r="L858" s="178"/>
      <c r="M858" s="139">
        <v>1</v>
      </c>
      <c r="N858" s="139">
        <v>1900.35</v>
      </c>
      <c r="O858" s="139"/>
      <c r="P858" s="37">
        <f>Q858+Q858*R858+S858+T858+U858</f>
        <v>2111.5</v>
      </c>
      <c r="Q858" s="71">
        <v>2010</v>
      </c>
      <c r="R858" s="157">
        <v>0</v>
      </c>
      <c r="S858" s="71">
        <v>85</v>
      </c>
      <c r="T858" s="71">
        <v>15</v>
      </c>
      <c r="U858" s="71">
        <v>1.5</v>
      </c>
      <c r="V858" s="37">
        <f>P858*E858</f>
        <v>1900.35</v>
      </c>
      <c r="W858" s="139"/>
      <c r="X858" s="139"/>
      <c r="Y858" s="139"/>
      <c r="Z858" s="139"/>
      <c r="AA858" s="139"/>
      <c r="AB858" s="139"/>
      <c r="AC858" s="139"/>
      <c r="AD858" s="139"/>
      <c r="AE858" s="139"/>
      <c r="AF858" s="140"/>
      <c r="AG858" s="140"/>
      <c r="AH858" s="140"/>
      <c r="AI858" s="140"/>
      <c r="AJ858" s="140"/>
      <c r="AK858" s="140"/>
      <c r="AL858" s="140"/>
      <c r="AM858" s="140"/>
      <c r="AN858" s="140"/>
      <c r="AO858" s="140"/>
      <c r="AP858" s="140"/>
      <c r="AQ858" s="140"/>
      <c r="AR858" s="140"/>
      <c r="AS858" s="140"/>
      <c r="AT858" s="140"/>
      <c r="AU858" s="140"/>
      <c r="AV858" s="140"/>
      <c r="AW858" s="140"/>
      <c r="AX858" s="140"/>
      <c r="AY858" s="140"/>
      <c r="AZ858" s="140"/>
      <c r="BA858" s="140"/>
      <c r="BB858" s="140"/>
      <c r="BC858" s="140"/>
      <c r="BD858" s="140"/>
      <c r="BE858" s="140"/>
    </row>
    <row r="859" s="119" customFormat="1" ht="24" customHeight="1" outlineLevel="1" spans="1:57">
      <c r="A859" s="132" t="s">
        <v>406</v>
      </c>
      <c r="B859" s="8" t="s">
        <v>407</v>
      </c>
      <c r="C859" s="180"/>
      <c r="D859" s="133"/>
      <c r="E859" s="134"/>
      <c r="F859" s="134"/>
      <c r="G859" s="134"/>
      <c r="H859" s="134"/>
      <c r="I859" s="134"/>
      <c r="J859" s="134"/>
      <c r="K859" s="11"/>
      <c r="L859" s="178"/>
      <c r="M859" s="139"/>
      <c r="N859" s="139"/>
      <c r="O859" s="139" t="str">
        <f>_xlfn.DISPIMG("ID_E5CD2B656A7B49C499EC220A07E6DA18",1)</f>
        <v>=DISPIMG("ID_E5CD2B656A7B49C499EC220A07E6DA18",1)</v>
      </c>
      <c r="P859" s="137"/>
      <c r="Q859" s="137"/>
      <c r="R859" s="138"/>
      <c r="S859" s="137"/>
      <c r="T859" s="137"/>
      <c r="U859" s="137"/>
      <c r="V859" s="137"/>
      <c r="W859" s="139"/>
      <c r="X859" s="139"/>
      <c r="Y859" s="139"/>
      <c r="Z859" s="139"/>
      <c r="AA859" s="139"/>
      <c r="AB859" s="139"/>
      <c r="AC859" s="139"/>
      <c r="AD859" s="139"/>
      <c r="AE859" s="139"/>
      <c r="AF859" s="140"/>
      <c r="AG859" s="140"/>
      <c r="AH859" s="140"/>
      <c r="AI859" s="140"/>
      <c r="AJ859" s="140"/>
      <c r="AK859" s="140"/>
      <c r="AL859" s="140"/>
      <c r="AM859" s="140"/>
      <c r="AN859" s="140"/>
      <c r="AO859" s="140"/>
      <c r="AP859" s="140"/>
      <c r="AQ859" s="140"/>
      <c r="AR859" s="140"/>
      <c r="AS859" s="140"/>
      <c r="AT859" s="140"/>
      <c r="AU859" s="140"/>
      <c r="AV859" s="140"/>
      <c r="AW859" s="140"/>
      <c r="AX859" s="140"/>
      <c r="AY859" s="140"/>
      <c r="AZ859" s="140"/>
      <c r="BA859" s="140"/>
      <c r="BB859" s="140"/>
      <c r="BC859" s="140"/>
      <c r="BD859" s="140"/>
      <c r="BE859" s="140"/>
    </row>
    <row r="860" s="119" customFormat="1" ht="24" customHeight="1" outlineLevel="1" spans="1:57">
      <c r="A860" s="141"/>
      <c r="B860" s="14" t="s">
        <v>60</v>
      </c>
      <c r="C860" s="15"/>
      <c r="D860" s="142"/>
      <c r="E860" s="143"/>
      <c r="F860" s="143"/>
      <c r="G860" s="143"/>
      <c r="H860" s="143"/>
      <c r="I860" s="143"/>
      <c r="J860" s="143"/>
      <c r="K860" s="144"/>
      <c r="L860" s="178"/>
      <c r="M860" s="139"/>
      <c r="N860" s="139"/>
      <c r="O860" s="139"/>
      <c r="P860" s="137"/>
      <c r="Q860" s="137"/>
      <c r="R860" s="138"/>
      <c r="S860" s="137"/>
      <c r="T860" s="137"/>
      <c r="U860" s="137"/>
      <c r="V860" s="137"/>
      <c r="W860" s="139"/>
      <c r="X860" s="139"/>
      <c r="Y860" s="139"/>
      <c r="Z860" s="139"/>
      <c r="AA860" s="139"/>
      <c r="AB860" s="139"/>
      <c r="AC860" s="139"/>
      <c r="AD860" s="139"/>
      <c r="AE860" s="139"/>
      <c r="AF860" s="140"/>
      <c r="AG860" s="140"/>
      <c r="AH860" s="140"/>
      <c r="AI860" s="140"/>
      <c r="AJ860" s="140"/>
      <c r="AK860" s="140"/>
      <c r="AL860" s="140"/>
      <c r="AM860" s="140"/>
      <c r="AN860" s="140"/>
      <c r="AO860" s="140"/>
      <c r="AP860" s="140"/>
      <c r="AQ860" s="140"/>
      <c r="AR860" s="140"/>
      <c r="AS860" s="140"/>
      <c r="AT860" s="140"/>
      <c r="AU860" s="140"/>
      <c r="AV860" s="140"/>
      <c r="AW860" s="140"/>
      <c r="AX860" s="140"/>
      <c r="AY860" s="140"/>
      <c r="AZ860" s="140"/>
      <c r="BA860" s="140"/>
      <c r="BB860" s="140"/>
      <c r="BC860" s="140"/>
      <c r="BD860" s="140"/>
      <c r="BE860" s="140"/>
    </row>
    <row r="861" s="119" customFormat="1" ht="96" customHeight="1" outlineLevel="2" spans="1:57">
      <c r="A861" s="162">
        <f>1+N(A860)</f>
        <v>1</v>
      </c>
      <c r="B861" s="14" t="s">
        <v>66</v>
      </c>
      <c r="C861" s="15" t="s">
        <v>67</v>
      </c>
      <c r="D861" s="142" t="s">
        <v>63</v>
      </c>
      <c r="E861" s="143">
        <v>10.78</v>
      </c>
      <c r="F861" s="143">
        <f>$F$9</f>
        <v>77</v>
      </c>
      <c r="G861" s="143">
        <f>$G$9</f>
        <v>56.65</v>
      </c>
      <c r="H861" s="17">
        <f>$H$9</f>
        <v>50.6</v>
      </c>
      <c r="I861" s="17">
        <f>(F861+G861+H861)*$I$3</f>
        <v>18.425</v>
      </c>
      <c r="J861" s="18">
        <f>ROUND(SUM(F861:I861),2)</f>
        <v>202.68</v>
      </c>
      <c r="K861" s="19">
        <f>ROUND(J861*E861,2)</f>
        <v>2184.89</v>
      </c>
      <c r="L861" s="178"/>
      <c r="M861" s="139">
        <v>1</v>
      </c>
      <c r="N861" s="139">
        <v>1986.22</v>
      </c>
      <c r="O861" s="139"/>
      <c r="P861" s="37">
        <f>Q861+Q861*R861+S861+T861+U861</f>
        <v>184.25</v>
      </c>
      <c r="Q861" s="99">
        <f>$Q$9</f>
        <v>55</v>
      </c>
      <c r="R861" s="163">
        <f>$R$9</f>
        <v>0.03</v>
      </c>
      <c r="S861" s="99">
        <f>$S$9</f>
        <v>77</v>
      </c>
      <c r="T861" s="99">
        <f>$T$9</f>
        <v>50.1</v>
      </c>
      <c r="U861" s="99">
        <f>$U$9</f>
        <v>0.5</v>
      </c>
      <c r="V861" s="37">
        <f>P861*E861</f>
        <v>1986.215</v>
      </c>
      <c r="W861" s="139"/>
      <c r="X861" s="139"/>
      <c r="Y861" s="139"/>
      <c r="Z861" s="139"/>
      <c r="AA861" s="139"/>
      <c r="AB861" s="139"/>
      <c r="AC861" s="139"/>
      <c r="AD861" s="139"/>
      <c r="AE861" s="139"/>
      <c r="AF861" s="140"/>
      <c r="AG861" s="140"/>
      <c r="AH861" s="140"/>
      <c r="AI861" s="140"/>
      <c r="AJ861" s="140"/>
      <c r="AK861" s="140"/>
      <c r="AL861" s="140"/>
      <c r="AM861" s="140"/>
      <c r="AN861" s="140"/>
      <c r="AO861" s="140"/>
      <c r="AP861" s="140"/>
      <c r="AQ861" s="140"/>
      <c r="AR861" s="140"/>
      <c r="AS861" s="140"/>
      <c r="AT861" s="140"/>
      <c r="AU861" s="140"/>
      <c r="AV861" s="140"/>
      <c r="AW861" s="140"/>
      <c r="AX861" s="140"/>
      <c r="AY861" s="140"/>
      <c r="AZ861" s="140"/>
      <c r="BA861" s="140"/>
      <c r="BB861" s="140"/>
      <c r="BC861" s="140"/>
      <c r="BD861" s="140"/>
      <c r="BE861" s="140"/>
    </row>
    <row r="862" s="119" customFormat="1" ht="96" customHeight="1" outlineLevel="2" spans="1:57">
      <c r="A862" s="162">
        <f>1+N(A861)</f>
        <v>2</v>
      </c>
      <c r="B862" s="14" t="s">
        <v>61</v>
      </c>
      <c r="C862" s="15" t="s">
        <v>62</v>
      </c>
      <c r="D862" s="142" t="s">
        <v>63</v>
      </c>
      <c r="E862" s="143">
        <v>0.32</v>
      </c>
      <c r="F862" s="143">
        <f>$F$7</f>
        <v>130</v>
      </c>
      <c r="G862" s="143">
        <f>$G$7</f>
        <v>628.3</v>
      </c>
      <c r="H862" s="17">
        <f>$H$7</f>
        <v>47.7</v>
      </c>
      <c r="I862" s="17">
        <f>(F862+G862+H862)*$I$3</f>
        <v>80.6</v>
      </c>
      <c r="J862" s="18">
        <f>ROUND(SUM(F862:I862),2)</f>
        <v>886.6</v>
      </c>
      <c r="K862" s="19">
        <f>ROUND(J862*E862,2)</f>
        <v>283.71</v>
      </c>
      <c r="L862" s="178"/>
      <c r="M862" s="139">
        <v>1</v>
      </c>
      <c r="N862" s="139">
        <v>257.92</v>
      </c>
      <c r="O862" s="139"/>
      <c r="P862" s="37">
        <f>Q862+Q862*R862+S862+T862+U862</f>
        <v>806</v>
      </c>
      <c r="Q862" s="99">
        <f>$Q$7</f>
        <v>610</v>
      </c>
      <c r="R862" s="163">
        <f>$R$7</f>
        <v>0.03</v>
      </c>
      <c r="S862" s="99">
        <f>$S$7</f>
        <v>130</v>
      </c>
      <c r="T862" s="99">
        <f>$T$7</f>
        <v>46.2</v>
      </c>
      <c r="U862" s="99">
        <f>$U$7</f>
        <v>1.5</v>
      </c>
      <c r="V862" s="37">
        <f>P862*E862</f>
        <v>257.92</v>
      </c>
      <c r="W862" s="139"/>
      <c r="X862" s="139"/>
      <c r="Y862" s="139"/>
      <c r="Z862" s="139"/>
      <c r="AA862" s="139"/>
      <c r="AB862" s="139"/>
      <c r="AC862" s="139"/>
      <c r="AD862" s="139"/>
      <c r="AE862" s="139"/>
      <c r="AF862" s="140"/>
      <c r="AG862" s="140"/>
      <c r="AH862" s="140"/>
      <c r="AI862" s="140"/>
      <c r="AJ862" s="140"/>
      <c r="AK862" s="140"/>
      <c r="AL862" s="140"/>
      <c r="AM862" s="140"/>
      <c r="AN862" s="140"/>
      <c r="AO862" s="140"/>
      <c r="AP862" s="140"/>
      <c r="AQ862" s="140"/>
      <c r="AR862" s="140"/>
      <c r="AS862" s="140"/>
      <c r="AT862" s="140"/>
      <c r="AU862" s="140"/>
      <c r="AV862" s="140"/>
      <c r="AW862" s="140"/>
      <c r="AX862" s="140"/>
      <c r="AY862" s="140"/>
      <c r="AZ862" s="140"/>
      <c r="BA862" s="140"/>
      <c r="BB862" s="140"/>
      <c r="BC862" s="140"/>
      <c r="BD862" s="140"/>
      <c r="BE862" s="140"/>
    </row>
    <row r="863" s="119" customFormat="1" ht="48" customHeight="1" outlineLevel="2" spans="1:57">
      <c r="A863" s="162">
        <f>1+N(A862)</f>
        <v>3</v>
      </c>
      <c r="B863" s="14" t="s">
        <v>71</v>
      </c>
      <c r="C863" s="15" t="s">
        <v>72</v>
      </c>
      <c r="D863" s="142" t="s">
        <v>63</v>
      </c>
      <c r="E863" s="143">
        <v>0.32</v>
      </c>
      <c r="F863" s="143">
        <f>$F$11</f>
        <v>40</v>
      </c>
      <c r="G863" s="143">
        <f>$G$11</f>
        <v>15</v>
      </c>
      <c r="H863" s="143">
        <f>$H$11</f>
        <v>0.8</v>
      </c>
      <c r="I863" s="17">
        <f>(F863+G863+H863)*$I$3</f>
        <v>5.58</v>
      </c>
      <c r="J863" s="18">
        <f>ROUND(SUM(F863:I863),2)</f>
        <v>61.38</v>
      </c>
      <c r="K863" s="19">
        <f>ROUND(J863*E863,2)</f>
        <v>19.64</v>
      </c>
      <c r="L863" s="178"/>
      <c r="M863" s="139">
        <v>1</v>
      </c>
      <c r="N863" s="139">
        <v>17.86</v>
      </c>
      <c r="O863" s="139"/>
      <c r="P863" s="37">
        <f>Q863+Q863*R863+S863+T863+U863</f>
        <v>55.8</v>
      </c>
      <c r="Q863" s="99">
        <f>$Q$11</f>
        <v>15</v>
      </c>
      <c r="R863" s="163">
        <f>$R$11</f>
        <v>0</v>
      </c>
      <c r="S863" s="99">
        <f>$S$11</f>
        <v>40</v>
      </c>
      <c r="T863" s="99">
        <f>$T$11</f>
        <v>0.5</v>
      </c>
      <c r="U863" s="99">
        <f>$U$11</f>
        <v>0.3</v>
      </c>
      <c r="V863" s="37">
        <f>P863*E863</f>
        <v>17.856</v>
      </c>
      <c r="W863" s="139"/>
      <c r="X863" s="139"/>
      <c r="Y863" s="139"/>
      <c r="Z863" s="139"/>
      <c r="AA863" s="139"/>
      <c r="AB863" s="139"/>
      <c r="AC863" s="139"/>
      <c r="AD863" s="139"/>
      <c r="AE863" s="139"/>
      <c r="AF863" s="140"/>
      <c r="AG863" s="140"/>
      <c r="AH863" s="140"/>
      <c r="AI863" s="140"/>
      <c r="AJ863" s="140"/>
      <c r="AK863" s="140"/>
      <c r="AL863" s="140"/>
      <c r="AM863" s="140"/>
      <c r="AN863" s="140"/>
      <c r="AO863" s="140"/>
      <c r="AP863" s="140"/>
      <c r="AQ863" s="140"/>
      <c r="AR863" s="140"/>
      <c r="AS863" s="140"/>
      <c r="AT863" s="140"/>
      <c r="AU863" s="140"/>
      <c r="AV863" s="140"/>
      <c r="AW863" s="140"/>
      <c r="AX863" s="140"/>
      <c r="AY863" s="140"/>
      <c r="AZ863" s="140"/>
      <c r="BA863" s="140"/>
      <c r="BB863" s="140"/>
      <c r="BC863" s="140"/>
      <c r="BD863" s="140"/>
      <c r="BE863" s="140"/>
    </row>
    <row r="864" s="119" customFormat="1" ht="24" customHeight="1" outlineLevel="1" spans="1:57">
      <c r="A864" s="141"/>
      <c r="B864" s="14" t="s">
        <v>73</v>
      </c>
      <c r="C864" s="15"/>
      <c r="D864" s="142"/>
      <c r="E864" s="143"/>
      <c r="F864" s="143"/>
      <c r="G864" s="143"/>
      <c r="H864" s="143"/>
      <c r="I864" s="143"/>
      <c r="J864" s="143"/>
      <c r="K864" s="144"/>
      <c r="L864" s="178"/>
      <c r="M864" s="139"/>
      <c r="N864" s="139"/>
      <c r="O864" s="139"/>
      <c r="P864" s="137"/>
      <c r="Q864" s="137"/>
      <c r="R864" s="138"/>
      <c r="S864" s="137"/>
      <c r="T864" s="137"/>
      <c r="U864" s="137"/>
      <c r="V864" s="137"/>
      <c r="W864" s="139"/>
      <c r="X864" s="139"/>
      <c r="Y864" s="139"/>
      <c r="Z864" s="139"/>
      <c r="AA864" s="139"/>
      <c r="AB864" s="139"/>
      <c r="AC864" s="139"/>
      <c r="AD864" s="139"/>
      <c r="AE864" s="139"/>
      <c r="AF864" s="140"/>
      <c r="AG864" s="140"/>
      <c r="AH864" s="140"/>
      <c r="AI864" s="140"/>
      <c r="AJ864" s="140"/>
      <c r="AK864" s="140"/>
      <c r="AL864" s="140"/>
      <c r="AM864" s="140"/>
      <c r="AN864" s="140"/>
      <c r="AO864" s="140"/>
      <c r="AP864" s="140"/>
      <c r="AQ864" s="140"/>
      <c r="AR864" s="140"/>
      <c r="AS864" s="140"/>
      <c r="AT864" s="140"/>
      <c r="AU864" s="140"/>
      <c r="AV864" s="140"/>
      <c r="AW864" s="140"/>
      <c r="AX864" s="140"/>
      <c r="AY864" s="140"/>
      <c r="AZ864" s="140"/>
      <c r="BA864" s="140"/>
      <c r="BB864" s="140"/>
      <c r="BC864" s="140"/>
      <c r="BD864" s="140"/>
      <c r="BE864" s="140"/>
    </row>
    <row r="865" s="119" customFormat="1" ht="60" customHeight="1" outlineLevel="2" spans="1:57">
      <c r="A865" s="162">
        <f>1+N(A864)</f>
        <v>1</v>
      </c>
      <c r="B865" s="164" t="s">
        <v>80</v>
      </c>
      <c r="C865" s="15" t="s">
        <v>81</v>
      </c>
      <c r="D865" s="142" t="s">
        <v>63</v>
      </c>
      <c r="E865" s="143">
        <v>28.224</v>
      </c>
      <c r="F865" s="143">
        <f>$F$16</f>
        <v>91.5</v>
      </c>
      <c r="G865" s="143">
        <f>$G$16</f>
        <v>5.555</v>
      </c>
      <c r="H865" s="143">
        <f>$H$16</f>
        <v>56.797</v>
      </c>
      <c r="I865" s="17">
        <f>(F865+G865+H865)*$I$3</f>
        <v>15.3852</v>
      </c>
      <c r="J865" s="18">
        <f>ROUND(SUM(F865:I865),2)</f>
        <v>169.24</v>
      </c>
      <c r="K865" s="19">
        <f>ROUND(J865*E865,2)</f>
        <v>4776.63</v>
      </c>
      <c r="L865" s="178"/>
      <c r="M865" s="139">
        <v>1</v>
      </c>
      <c r="N865" s="139">
        <v>4342.26</v>
      </c>
      <c r="O865" s="139"/>
      <c r="P865" s="37">
        <f>Q865+Q865*R865+S865+T865+U865</f>
        <v>153.852</v>
      </c>
      <c r="Q865" s="99">
        <f>$Q$16</f>
        <v>5.5</v>
      </c>
      <c r="R865" s="163">
        <f>$R$16</f>
        <v>0.01</v>
      </c>
      <c r="S865" s="99">
        <f>$S$16</f>
        <v>91.5</v>
      </c>
      <c r="T865" s="99">
        <f>$T$16</f>
        <v>55.997</v>
      </c>
      <c r="U865" s="99">
        <f>$U$16</f>
        <v>0.8</v>
      </c>
      <c r="V865" s="37">
        <f>P865*E865</f>
        <v>4342.318848</v>
      </c>
      <c r="W865" s="139"/>
      <c r="X865" s="139"/>
      <c r="Y865" s="139"/>
      <c r="Z865" s="139"/>
      <c r="AA865" s="139"/>
      <c r="AB865" s="139"/>
      <c r="AC865" s="139"/>
      <c r="AD865" s="139"/>
      <c r="AE865" s="139"/>
      <c r="AF865" s="140"/>
      <c r="AG865" s="140"/>
      <c r="AH865" s="140"/>
      <c r="AI865" s="140"/>
      <c r="AJ865" s="140"/>
      <c r="AK865" s="140"/>
      <c r="AL865" s="140"/>
      <c r="AM865" s="140"/>
      <c r="AN865" s="140"/>
      <c r="AO865" s="140"/>
      <c r="AP865" s="140"/>
      <c r="AQ865" s="140"/>
      <c r="AR865" s="140"/>
      <c r="AS865" s="140"/>
      <c r="AT865" s="140"/>
      <c r="AU865" s="140"/>
      <c r="AV865" s="140"/>
      <c r="AW865" s="140"/>
      <c r="AX865" s="140"/>
      <c r="AY865" s="140"/>
      <c r="AZ865" s="140"/>
      <c r="BA865" s="140"/>
      <c r="BB865" s="140"/>
      <c r="BC865" s="140"/>
      <c r="BD865" s="140"/>
      <c r="BE865" s="140"/>
    </row>
    <row r="866" s="119" customFormat="1" ht="60" customHeight="1" outlineLevel="2" spans="1:57">
      <c r="A866" s="162">
        <f>1+N(A865)</f>
        <v>2</v>
      </c>
      <c r="B866" s="14" t="s">
        <v>191</v>
      </c>
      <c r="C866" s="15" t="s">
        <v>291</v>
      </c>
      <c r="D866" s="142" t="s">
        <v>63</v>
      </c>
      <c r="E866" s="143">
        <v>25.477</v>
      </c>
      <c r="F866" s="143">
        <f>$F$520</f>
        <v>89</v>
      </c>
      <c r="G866" s="143">
        <f>$G$520</f>
        <v>55</v>
      </c>
      <c r="H866" s="143">
        <f>$H$520</f>
        <v>45.5</v>
      </c>
      <c r="I866" s="17">
        <f>(F866+G866+H866)*$I$3</f>
        <v>18.95</v>
      </c>
      <c r="J866" s="18">
        <f>ROUND(SUM(F866:I866),2)</f>
        <v>208.45</v>
      </c>
      <c r="K866" s="19">
        <f>ROUND(J866*E866,2)</f>
        <v>5310.68</v>
      </c>
      <c r="L866" s="178"/>
      <c r="M866" s="139">
        <v>1</v>
      </c>
      <c r="N866" s="139">
        <v>4827.89</v>
      </c>
      <c r="O866" s="139"/>
      <c r="P866" s="37">
        <f>Q866+Q866*R866+S866+T866+U866</f>
        <v>189.5</v>
      </c>
      <c r="Q866" s="99">
        <f>$Q$520</f>
        <v>55</v>
      </c>
      <c r="R866" s="163">
        <f>$R$520</f>
        <v>0</v>
      </c>
      <c r="S866" s="99">
        <f>$S$520</f>
        <v>89</v>
      </c>
      <c r="T866" s="99">
        <f>$T$520</f>
        <v>45</v>
      </c>
      <c r="U866" s="99">
        <f>$U$520</f>
        <v>0.5</v>
      </c>
      <c r="V866" s="37">
        <f>P866*E866</f>
        <v>4827.8915</v>
      </c>
      <c r="W866" s="139"/>
      <c r="X866" s="139"/>
      <c r="Y866" s="139"/>
      <c r="Z866" s="139"/>
      <c r="AA866" s="139"/>
      <c r="AB866" s="139"/>
      <c r="AC866" s="139"/>
      <c r="AD866" s="139"/>
      <c r="AE866" s="139"/>
      <c r="AF866" s="140"/>
      <c r="AG866" s="140"/>
      <c r="AH866" s="140"/>
      <c r="AI866" s="140"/>
      <c r="AJ866" s="140"/>
      <c r="AK866" s="140"/>
      <c r="AL866" s="140"/>
      <c r="AM866" s="140"/>
      <c r="AN866" s="140"/>
      <c r="AO866" s="140"/>
      <c r="AP866" s="140"/>
      <c r="AQ866" s="140"/>
      <c r="AR866" s="140"/>
      <c r="AS866" s="140"/>
      <c r="AT866" s="140"/>
      <c r="AU866" s="140"/>
      <c r="AV866" s="140"/>
      <c r="AW866" s="140"/>
      <c r="AX866" s="140"/>
      <c r="AY866" s="140"/>
      <c r="AZ866" s="140"/>
      <c r="BA866" s="140"/>
      <c r="BB866" s="140"/>
      <c r="BC866" s="140"/>
      <c r="BD866" s="140"/>
      <c r="BE866" s="140"/>
    </row>
    <row r="867" s="119" customFormat="1" ht="60" customHeight="1" outlineLevel="2" spans="1:57">
      <c r="A867" s="162">
        <f>1+N(A866)</f>
        <v>3</v>
      </c>
      <c r="B867" s="14" t="s">
        <v>89</v>
      </c>
      <c r="C867" s="15" t="s">
        <v>90</v>
      </c>
      <c r="D867" s="142" t="s">
        <v>63</v>
      </c>
      <c r="E867" s="143">
        <v>0.488</v>
      </c>
      <c r="F867" s="143">
        <f>$F$21</f>
        <v>120</v>
      </c>
      <c r="G867" s="143">
        <f>$G$21</f>
        <v>110.25</v>
      </c>
      <c r="H867" s="143">
        <f>$H$21</f>
        <v>17</v>
      </c>
      <c r="I867" s="17">
        <f>(F867+G867+H867)*$I$3</f>
        <v>24.725</v>
      </c>
      <c r="J867" s="18">
        <f>ROUND(SUM(F867:I867),2)</f>
        <v>271.98</v>
      </c>
      <c r="K867" s="19">
        <f>ROUND(J867*E867,2)</f>
        <v>132.73</v>
      </c>
      <c r="L867" s="178"/>
      <c r="M867" s="139">
        <v>1</v>
      </c>
      <c r="N867" s="139">
        <v>120.66</v>
      </c>
      <c r="O867" s="139"/>
      <c r="P867" s="37">
        <f>Q867+Q867*R867+S867+T867+U867</f>
        <v>247.25</v>
      </c>
      <c r="Q867" s="99">
        <f>$Q$21</f>
        <v>105</v>
      </c>
      <c r="R867" s="163">
        <f>$R$21</f>
        <v>0.05</v>
      </c>
      <c r="S867" s="99">
        <f>$S$21</f>
        <v>120</v>
      </c>
      <c r="T867" s="99">
        <f>$T$21</f>
        <v>16.5</v>
      </c>
      <c r="U867" s="99">
        <f>$U$21</f>
        <v>0.5</v>
      </c>
      <c r="V867" s="37">
        <f>P867*E867</f>
        <v>120.658</v>
      </c>
      <c r="W867" s="139"/>
      <c r="X867" s="139"/>
      <c r="Y867" s="139"/>
      <c r="Z867" s="139"/>
      <c r="AA867" s="139"/>
      <c r="AB867" s="139"/>
      <c r="AC867" s="139"/>
      <c r="AD867" s="139"/>
      <c r="AE867" s="139"/>
      <c r="AF867" s="140"/>
      <c r="AG867" s="140"/>
      <c r="AH867" s="140"/>
      <c r="AI867" s="140"/>
      <c r="AJ867" s="140"/>
      <c r="AK867" s="140"/>
      <c r="AL867" s="140"/>
      <c r="AM867" s="140"/>
      <c r="AN867" s="140"/>
      <c r="AO867" s="140"/>
      <c r="AP867" s="140"/>
      <c r="AQ867" s="140"/>
      <c r="AR867" s="140"/>
      <c r="AS867" s="140"/>
      <c r="AT867" s="140"/>
      <c r="AU867" s="140"/>
      <c r="AV867" s="140"/>
      <c r="AW867" s="140"/>
      <c r="AX867" s="140"/>
      <c r="AY867" s="140"/>
      <c r="AZ867" s="140"/>
      <c r="BA867" s="140"/>
      <c r="BB867" s="140"/>
      <c r="BC867" s="140"/>
      <c r="BD867" s="140"/>
      <c r="BE867" s="140"/>
    </row>
    <row r="868" s="119" customFormat="1" ht="60" customHeight="1" outlineLevel="2" spans="1:57">
      <c r="A868" s="162">
        <f>1+N(A867)</f>
        <v>4</v>
      </c>
      <c r="B868" s="14" t="s">
        <v>82</v>
      </c>
      <c r="C868" s="15" t="s">
        <v>83</v>
      </c>
      <c r="D868" s="142" t="s">
        <v>63</v>
      </c>
      <c r="E868" s="143">
        <f>0.322*3.4*2+0.232*3.4*2</f>
        <v>3.7672</v>
      </c>
      <c r="F868" s="143">
        <f>$F$17</f>
        <v>110</v>
      </c>
      <c r="G868" s="143">
        <f>$G$17</f>
        <v>454.5</v>
      </c>
      <c r="H868" s="143">
        <f>$H$17</f>
        <v>55.2</v>
      </c>
      <c r="I868" s="17">
        <f>(F868+G868+H868)*$I$3</f>
        <v>61.97</v>
      </c>
      <c r="J868" s="18">
        <f>ROUND(SUM(F868:I868),2)</f>
        <v>681.67</v>
      </c>
      <c r="K868" s="19">
        <f>ROUND(J868*E868,2)</f>
        <v>2567.99</v>
      </c>
      <c r="L868" s="178"/>
      <c r="M868" s="139">
        <v>1</v>
      </c>
      <c r="N868" s="139">
        <v>2334.53</v>
      </c>
      <c r="O868" s="139"/>
      <c r="P868" s="37">
        <f>Q868+Q868*R868+S868+T868+U868</f>
        <v>619.7</v>
      </c>
      <c r="Q868" s="99">
        <f>$Q$17</f>
        <v>450</v>
      </c>
      <c r="R868" s="163">
        <f>$R$17</f>
        <v>0.01</v>
      </c>
      <c r="S868" s="99">
        <f>$S$17</f>
        <v>110</v>
      </c>
      <c r="T868" s="99">
        <f>$T$17</f>
        <v>54</v>
      </c>
      <c r="U868" s="99">
        <f>$U$17</f>
        <v>1.2</v>
      </c>
      <c r="V868" s="37">
        <f>P868*E868</f>
        <v>2334.53384</v>
      </c>
      <c r="W868" s="139"/>
      <c r="X868" s="139"/>
      <c r="Y868" s="139"/>
      <c r="Z868" s="139"/>
      <c r="AA868" s="139"/>
      <c r="AB868" s="139"/>
      <c r="AC868" s="139"/>
      <c r="AD868" s="139"/>
      <c r="AE868" s="139"/>
      <c r="AF868" s="140"/>
      <c r="AG868" s="140"/>
      <c r="AH868" s="140"/>
      <c r="AI868" s="140"/>
      <c r="AJ868" s="140"/>
      <c r="AK868" s="140"/>
      <c r="AL868" s="140"/>
      <c r="AM868" s="140"/>
      <c r="AN868" s="140"/>
      <c r="AO868" s="140"/>
      <c r="AP868" s="140"/>
      <c r="AQ868" s="140"/>
      <c r="AR868" s="140"/>
      <c r="AS868" s="140"/>
      <c r="AT868" s="140"/>
      <c r="AU868" s="140"/>
      <c r="AV868" s="140"/>
      <c r="AW868" s="140"/>
      <c r="AX868" s="140"/>
      <c r="AY868" s="140"/>
      <c r="AZ868" s="140"/>
      <c r="BA868" s="140"/>
      <c r="BB868" s="140"/>
      <c r="BC868" s="140"/>
      <c r="BD868" s="140"/>
      <c r="BE868" s="140"/>
    </row>
    <row r="869" s="119" customFormat="1" ht="60" customHeight="1" outlineLevel="2" spans="1:57">
      <c r="A869" s="162">
        <f>1+N(A868)</f>
        <v>5</v>
      </c>
      <c r="B869" s="14" t="s">
        <v>239</v>
      </c>
      <c r="C869" s="15" t="s">
        <v>240</v>
      </c>
      <c r="D869" s="165" t="s">
        <v>63</v>
      </c>
      <c r="E869" s="143">
        <f>((1.85+2.4)*2+8.06)*0.095</f>
        <v>1.5732</v>
      </c>
      <c r="F869" s="143">
        <f>$F$356</f>
        <v>110</v>
      </c>
      <c r="G869" s="143">
        <f>$G$356</f>
        <v>454.5</v>
      </c>
      <c r="H869" s="143">
        <f>$H$356</f>
        <v>55.2</v>
      </c>
      <c r="I869" s="17">
        <f>(F869+G869+H869)*$I$3</f>
        <v>61.97</v>
      </c>
      <c r="J869" s="18">
        <f>ROUND(SUM(F869:I869),2)</f>
        <v>681.67</v>
      </c>
      <c r="K869" s="19">
        <f>ROUND(J869*E869,2)</f>
        <v>1072.4</v>
      </c>
      <c r="L869" s="178"/>
      <c r="M869" s="139">
        <v>1</v>
      </c>
      <c r="N869" s="139">
        <v>974.91</v>
      </c>
      <c r="O869" s="139"/>
      <c r="P869" s="37">
        <f>Q869+Q869*R869+S869+T869+U869</f>
        <v>619.7</v>
      </c>
      <c r="Q869" s="99">
        <f>$Q$356</f>
        <v>450</v>
      </c>
      <c r="R869" s="163">
        <f>$R$356</f>
        <v>0.01</v>
      </c>
      <c r="S869" s="99">
        <f>$S$356</f>
        <v>110</v>
      </c>
      <c r="T869" s="99">
        <f>$T$356</f>
        <v>54</v>
      </c>
      <c r="U869" s="99">
        <f>$U$356</f>
        <v>1.2</v>
      </c>
      <c r="V869" s="37">
        <f>P869*E869</f>
        <v>974.91204</v>
      </c>
      <c r="W869" s="139"/>
      <c r="X869" s="139"/>
      <c r="Y869" s="139"/>
      <c r="Z869" s="139"/>
      <c r="AA869" s="139"/>
      <c r="AB869" s="139"/>
      <c r="AC869" s="139"/>
      <c r="AD869" s="139"/>
      <c r="AE869" s="139"/>
      <c r="AF869" s="140"/>
      <c r="AG869" s="140"/>
      <c r="AH869" s="140"/>
      <c r="AI869" s="140"/>
      <c r="AJ869" s="140"/>
      <c r="AK869" s="140"/>
      <c r="AL869" s="140"/>
      <c r="AM869" s="140"/>
      <c r="AN869" s="140"/>
      <c r="AO869" s="140"/>
      <c r="AP869" s="140"/>
      <c r="AQ869" s="140"/>
      <c r="AR869" s="140"/>
      <c r="AS869" s="140"/>
      <c r="AT869" s="140"/>
      <c r="AU869" s="140"/>
      <c r="AV869" s="140"/>
      <c r="AW869" s="140"/>
      <c r="AX869" s="140"/>
      <c r="AY869" s="140"/>
      <c r="AZ869" s="140"/>
      <c r="BA869" s="140"/>
      <c r="BB869" s="140"/>
      <c r="BC869" s="140"/>
      <c r="BD869" s="140"/>
      <c r="BE869" s="140"/>
    </row>
    <row r="870" s="119" customFormat="1" ht="24" customHeight="1" outlineLevel="1" spans="1:57">
      <c r="A870" s="141"/>
      <c r="B870" s="14" t="s">
        <v>101</v>
      </c>
      <c r="C870" s="15"/>
      <c r="D870" s="142"/>
      <c r="E870" s="143"/>
      <c r="F870" s="143"/>
      <c r="G870" s="143"/>
      <c r="H870" s="143"/>
      <c r="I870" s="143"/>
      <c r="J870" s="143"/>
      <c r="K870" s="144"/>
      <c r="L870" s="178"/>
      <c r="M870" s="139"/>
      <c r="N870" s="139"/>
      <c r="O870" s="139"/>
      <c r="P870" s="137"/>
      <c r="Q870" s="137"/>
      <c r="R870" s="138"/>
      <c r="S870" s="137"/>
      <c r="T870" s="137"/>
      <c r="U870" s="137"/>
      <c r="V870" s="137"/>
      <c r="W870" s="139"/>
      <c r="X870" s="139"/>
      <c r="Y870" s="139"/>
      <c r="Z870" s="139"/>
      <c r="AA870" s="139"/>
      <c r="AB870" s="139"/>
      <c r="AC870" s="139"/>
      <c r="AD870" s="139"/>
      <c r="AE870" s="139"/>
      <c r="AF870" s="140"/>
      <c r="AG870" s="140"/>
      <c r="AH870" s="140"/>
      <c r="AI870" s="140"/>
      <c r="AJ870" s="140"/>
      <c r="AK870" s="140"/>
      <c r="AL870" s="140"/>
      <c r="AM870" s="140"/>
      <c r="AN870" s="140"/>
      <c r="AO870" s="140"/>
      <c r="AP870" s="140"/>
      <c r="AQ870" s="140"/>
      <c r="AR870" s="140"/>
      <c r="AS870" s="140"/>
      <c r="AT870" s="140"/>
      <c r="AU870" s="140"/>
      <c r="AV870" s="140"/>
      <c r="AW870" s="140"/>
      <c r="AX870" s="140"/>
      <c r="AY870" s="140"/>
      <c r="AZ870" s="140"/>
      <c r="BA870" s="140"/>
      <c r="BB870" s="140"/>
      <c r="BC870" s="140"/>
      <c r="BD870" s="140"/>
      <c r="BE870" s="140"/>
    </row>
    <row r="871" s="119" customFormat="1" ht="72" customHeight="1" outlineLevel="2" spans="1:57">
      <c r="A871" s="162">
        <f>1+N(A870)</f>
        <v>1</v>
      </c>
      <c r="B871" s="14" t="s">
        <v>282</v>
      </c>
      <c r="C871" s="15" t="s">
        <v>283</v>
      </c>
      <c r="D871" s="142" t="s">
        <v>63</v>
      </c>
      <c r="E871" s="143">
        <v>10.78</v>
      </c>
      <c r="F871" s="143">
        <f>$F$506</f>
        <v>28.5</v>
      </c>
      <c r="G871" s="143">
        <f>$G$506</f>
        <v>5.5</v>
      </c>
      <c r="H871" s="143">
        <f>$H$506</f>
        <v>6.8</v>
      </c>
      <c r="I871" s="17">
        <f>(F871+G871+H871)*$I$3</f>
        <v>4.08</v>
      </c>
      <c r="J871" s="18">
        <f>ROUND(SUM(F871:I871),2)</f>
        <v>44.88</v>
      </c>
      <c r="K871" s="19">
        <f>ROUND(J871*E871,2)</f>
        <v>483.81</v>
      </c>
      <c r="L871" s="178"/>
      <c r="M871" s="139">
        <v>1</v>
      </c>
      <c r="N871" s="139">
        <v>439.82</v>
      </c>
      <c r="O871" s="139"/>
      <c r="P871" s="37">
        <f>Q871+Q871*R871+S871+T871+U871</f>
        <v>40.8</v>
      </c>
      <c r="Q871" s="99">
        <f>$Q$506</f>
        <v>5.5</v>
      </c>
      <c r="R871" s="163">
        <f>$R$506</f>
        <v>0</v>
      </c>
      <c r="S871" s="99">
        <f>$S$506</f>
        <v>28.5</v>
      </c>
      <c r="T871" s="99">
        <f>$T$506</f>
        <v>6.5</v>
      </c>
      <c r="U871" s="99">
        <f>$U$506</f>
        <v>0.3</v>
      </c>
      <c r="V871" s="37">
        <f>P871*E871</f>
        <v>439.824</v>
      </c>
      <c r="W871" s="139"/>
      <c r="X871" s="139"/>
      <c r="Y871" s="139"/>
      <c r="Z871" s="139"/>
      <c r="AA871" s="139"/>
      <c r="AB871" s="139"/>
      <c r="AC871" s="139"/>
      <c r="AD871" s="139"/>
      <c r="AE871" s="139"/>
      <c r="AF871" s="140"/>
      <c r="AG871" s="140"/>
      <c r="AH871" s="140"/>
      <c r="AI871" s="140"/>
      <c r="AJ871" s="140"/>
      <c r="AK871" s="140"/>
      <c r="AL871" s="140"/>
      <c r="AM871" s="140"/>
      <c r="AN871" s="140"/>
      <c r="AO871" s="140"/>
      <c r="AP871" s="140"/>
      <c r="AQ871" s="140"/>
      <c r="AR871" s="140"/>
      <c r="AS871" s="140"/>
      <c r="AT871" s="140"/>
      <c r="AU871" s="140"/>
      <c r="AV871" s="140"/>
      <c r="AW871" s="140"/>
      <c r="AX871" s="140"/>
      <c r="AY871" s="140"/>
      <c r="AZ871" s="140"/>
      <c r="BA871" s="140"/>
      <c r="BB871" s="140"/>
      <c r="BC871" s="140"/>
      <c r="BD871" s="140"/>
      <c r="BE871" s="140"/>
    </row>
    <row r="872" s="119" customFormat="1" ht="24" customHeight="1" outlineLevel="1" spans="1:57">
      <c r="A872" s="141"/>
      <c r="B872" s="14" t="s">
        <v>112</v>
      </c>
      <c r="C872" s="15"/>
      <c r="D872" s="142"/>
      <c r="E872" s="143"/>
      <c r="F872" s="143"/>
      <c r="G872" s="143"/>
      <c r="H872" s="143"/>
      <c r="I872" s="143"/>
      <c r="J872" s="143"/>
      <c r="K872" s="144"/>
      <c r="L872" s="178"/>
      <c r="M872" s="139"/>
      <c r="N872" s="139"/>
      <c r="O872" s="139"/>
      <c r="P872" s="137"/>
      <c r="Q872" s="137"/>
      <c r="R872" s="138"/>
      <c r="S872" s="137"/>
      <c r="T872" s="137"/>
      <c r="U872" s="137"/>
      <c r="V872" s="137"/>
      <c r="W872" s="139"/>
      <c r="X872" s="139"/>
      <c r="Y872" s="139"/>
      <c r="Z872" s="139"/>
      <c r="AA872" s="139"/>
      <c r="AB872" s="139"/>
      <c r="AC872" s="139"/>
      <c r="AD872" s="139"/>
      <c r="AE872" s="139"/>
      <c r="AF872" s="140"/>
      <c r="AG872" s="140"/>
      <c r="AH872" s="140"/>
      <c r="AI872" s="140"/>
      <c r="AJ872" s="140"/>
      <c r="AK872" s="140"/>
      <c r="AL872" s="140"/>
      <c r="AM872" s="140"/>
      <c r="AN872" s="140"/>
      <c r="AO872" s="140"/>
      <c r="AP872" s="140"/>
      <c r="AQ872" s="140"/>
      <c r="AR872" s="140"/>
      <c r="AS872" s="140"/>
      <c r="AT872" s="140"/>
      <c r="AU872" s="140"/>
      <c r="AV872" s="140"/>
      <c r="AW872" s="140"/>
      <c r="AX872" s="140"/>
      <c r="AY872" s="140"/>
      <c r="AZ872" s="140"/>
      <c r="BA872" s="140"/>
      <c r="BB872" s="140"/>
      <c r="BC872" s="140"/>
      <c r="BD872" s="140"/>
      <c r="BE872" s="140"/>
    </row>
    <row r="873" s="119" customFormat="1" ht="48" customHeight="1" outlineLevel="2" spans="1:57">
      <c r="A873" s="145">
        <f>1+N(A872)</f>
        <v>1</v>
      </c>
      <c r="B873" s="146" t="s">
        <v>408</v>
      </c>
      <c r="C873" s="147" t="s">
        <v>298</v>
      </c>
      <c r="D873" s="148" t="s">
        <v>63</v>
      </c>
      <c r="E873" s="149">
        <f>0.64*3.4</f>
        <v>2.176</v>
      </c>
      <c r="F873" s="149">
        <f>S873*$S$1</f>
        <v>145</v>
      </c>
      <c r="G873" s="149">
        <f>Q873*(1+R873)*$Q$1</f>
        <v>1350</v>
      </c>
      <c r="H873" s="149">
        <f>(T873+U873)*$T$1</f>
        <v>28.5</v>
      </c>
      <c r="I873" s="150">
        <f>(F873+G873+H873)*$I$3</f>
        <v>152.35</v>
      </c>
      <c r="J873" s="151">
        <f>ROUND(SUM(F873:I873),2)</f>
        <v>1675.85</v>
      </c>
      <c r="K873" s="152">
        <f>ROUND(J873*E873,2)</f>
        <v>3646.65</v>
      </c>
      <c r="L873" s="178"/>
      <c r="M873" s="139">
        <v>1</v>
      </c>
      <c r="N873" s="139">
        <v>3315.14</v>
      </c>
      <c r="O873" s="139"/>
      <c r="P873" s="37">
        <f>Q873+Q873*R873+S873+T873+U873</f>
        <v>1523.5</v>
      </c>
      <c r="Q873" s="71">
        <v>1350</v>
      </c>
      <c r="R873" s="157">
        <v>0</v>
      </c>
      <c r="S873" s="71">
        <v>145</v>
      </c>
      <c r="T873" s="71">
        <v>27</v>
      </c>
      <c r="U873" s="71">
        <v>1.5</v>
      </c>
      <c r="V873" s="37">
        <f>P873*E873</f>
        <v>3315.136</v>
      </c>
      <c r="W873" s="139"/>
      <c r="X873" s="139"/>
      <c r="Y873" s="139"/>
      <c r="Z873" s="139"/>
      <c r="AA873" s="139"/>
      <c r="AB873" s="139"/>
      <c r="AC873" s="139"/>
      <c r="AD873" s="139"/>
      <c r="AE873" s="139"/>
      <c r="AF873" s="140"/>
      <c r="AG873" s="140"/>
      <c r="AH873" s="140"/>
      <c r="AI873" s="140"/>
      <c r="AJ873" s="140"/>
      <c r="AK873" s="140"/>
      <c r="AL873" s="140"/>
      <c r="AM873" s="140"/>
      <c r="AN873" s="140"/>
      <c r="AO873" s="140"/>
      <c r="AP873" s="140"/>
      <c r="AQ873" s="140"/>
      <c r="AR873" s="140"/>
      <c r="AS873" s="140"/>
      <c r="AT873" s="140"/>
      <c r="AU873" s="140"/>
      <c r="AV873" s="140"/>
      <c r="AW873" s="140"/>
      <c r="AX873" s="140"/>
      <c r="AY873" s="140"/>
      <c r="AZ873" s="140"/>
      <c r="BA873" s="140"/>
      <c r="BB873" s="140"/>
      <c r="BC873" s="140"/>
      <c r="BD873" s="140"/>
      <c r="BE873" s="140"/>
    </row>
    <row r="874" s="119" customFormat="1" ht="72" customHeight="1" outlineLevel="2" spans="1:57">
      <c r="A874" s="145">
        <f>1+N(A873)</f>
        <v>2</v>
      </c>
      <c r="B874" s="146" t="s">
        <v>409</v>
      </c>
      <c r="C874" s="147" t="s">
        <v>410</v>
      </c>
      <c r="D874" s="148" t="s">
        <v>63</v>
      </c>
      <c r="E874" s="149">
        <f>0.77*3.4</f>
        <v>2.618</v>
      </c>
      <c r="F874" s="149">
        <f>S874*$S$1</f>
        <v>145</v>
      </c>
      <c r="G874" s="149">
        <f>Q874*(1+R874)*$Q$1</f>
        <v>1350</v>
      </c>
      <c r="H874" s="149">
        <f>(T874+U874)*$T$1</f>
        <v>28.5</v>
      </c>
      <c r="I874" s="150">
        <f>(F874+G874+H874)*$I$3</f>
        <v>152.35</v>
      </c>
      <c r="J874" s="151">
        <f>ROUND(SUM(F874:I874),2)</f>
        <v>1675.85</v>
      </c>
      <c r="K874" s="152">
        <f>ROUND(J874*E874,2)</f>
        <v>4387.38</v>
      </c>
      <c r="L874" s="178"/>
      <c r="M874" s="139">
        <v>1</v>
      </c>
      <c r="N874" s="139">
        <v>3988.52</v>
      </c>
      <c r="O874" s="139"/>
      <c r="P874" s="37">
        <f>Q874+Q874*R874+S874+T874+U874</f>
        <v>1523.5</v>
      </c>
      <c r="Q874" s="71">
        <v>1350</v>
      </c>
      <c r="R874" s="157">
        <v>0</v>
      </c>
      <c r="S874" s="71">
        <v>145</v>
      </c>
      <c r="T874" s="71">
        <v>27</v>
      </c>
      <c r="U874" s="71">
        <v>1.5</v>
      </c>
      <c r="V874" s="37">
        <f>P874*E874</f>
        <v>3988.523</v>
      </c>
      <c r="W874" s="139"/>
      <c r="X874" s="139"/>
      <c r="Y874" s="139"/>
      <c r="Z874" s="139"/>
      <c r="AA874" s="139"/>
      <c r="AB874" s="139"/>
      <c r="AC874" s="139"/>
      <c r="AD874" s="139"/>
      <c r="AE874" s="139"/>
      <c r="AF874" s="140"/>
      <c r="AG874" s="140"/>
      <c r="AH874" s="140"/>
      <c r="AI874" s="140"/>
      <c r="AJ874" s="140"/>
      <c r="AK874" s="140"/>
      <c r="AL874" s="140"/>
      <c r="AM874" s="140"/>
      <c r="AN874" s="140"/>
      <c r="AO874" s="140"/>
      <c r="AP874" s="140"/>
      <c r="AQ874" s="140"/>
      <c r="AR874" s="140"/>
      <c r="AS874" s="140"/>
      <c r="AT874" s="140"/>
      <c r="AU874" s="140"/>
      <c r="AV874" s="140"/>
      <c r="AW874" s="140"/>
      <c r="AX874" s="140"/>
      <c r="AY874" s="140"/>
      <c r="AZ874" s="140"/>
      <c r="BA874" s="140"/>
      <c r="BB874" s="140"/>
      <c r="BC874" s="140"/>
      <c r="BD874" s="140"/>
      <c r="BE874" s="140"/>
    </row>
    <row r="875" s="119" customFormat="1" ht="72" customHeight="1" outlineLevel="2" spans="1:57">
      <c r="A875" s="145">
        <f>1+N(A874)</f>
        <v>3</v>
      </c>
      <c r="B875" s="146" t="s">
        <v>411</v>
      </c>
      <c r="C875" s="147" t="s">
        <v>412</v>
      </c>
      <c r="D875" s="148" t="s">
        <v>70</v>
      </c>
      <c r="E875" s="149">
        <f>1.34+2.99</f>
        <v>4.33</v>
      </c>
      <c r="F875" s="149">
        <f>S875*$S$1</f>
        <v>85</v>
      </c>
      <c r="G875" s="149">
        <f>Q875*(1+R875)*$Q$1</f>
        <v>1280</v>
      </c>
      <c r="H875" s="149">
        <f>(T875+U875)*$T$1</f>
        <v>16.5</v>
      </c>
      <c r="I875" s="150">
        <f>(F875+G875+H875)*$I$3</f>
        <v>138.15</v>
      </c>
      <c r="J875" s="151">
        <f>ROUND(SUM(F875:I875),2)</f>
        <v>1519.65</v>
      </c>
      <c r="K875" s="152">
        <f>ROUND(J875*E875,2)</f>
        <v>6580.08</v>
      </c>
      <c r="L875" s="178"/>
      <c r="M875" s="139">
        <v>1</v>
      </c>
      <c r="N875" s="139">
        <v>5981.9</v>
      </c>
      <c r="O875" s="139"/>
      <c r="P875" s="37">
        <f>Q875+Q875*R875+S875+T875+U875</f>
        <v>1381.5</v>
      </c>
      <c r="Q875" s="71">
        <v>1280</v>
      </c>
      <c r="R875" s="157">
        <v>0</v>
      </c>
      <c r="S875" s="71">
        <v>85</v>
      </c>
      <c r="T875" s="71">
        <v>15</v>
      </c>
      <c r="U875" s="71">
        <v>1.5</v>
      </c>
      <c r="V875" s="37">
        <f>P875*E875</f>
        <v>5981.895</v>
      </c>
      <c r="W875" s="139"/>
      <c r="X875" s="139"/>
      <c r="Y875" s="139"/>
      <c r="Z875" s="139"/>
      <c r="AA875" s="139"/>
      <c r="AB875" s="139"/>
      <c r="AC875" s="139"/>
      <c r="AD875" s="139"/>
      <c r="AE875" s="139"/>
      <c r="AF875" s="140"/>
      <c r="AG875" s="140"/>
      <c r="AH875" s="140"/>
      <c r="AI875" s="140"/>
      <c r="AJ875" s="140"/>
      <c r="AK875" s="140"/>
      <c r="AL875" s="140"/>
      <c r="AM875" s="140"/>
      <c r="AN875" s="140"/>
      <c r="AO875" s="140"/>
      <c r="AP875" s="140"/>
      <c r="AQ875" s="140"/>
      <c r="AR875" s="140"/>
      <c r="AS875" s="140"/>
      <c r="AT875" s="140"/>
      <c r="AU875" s="140"/>
      <c r="AV875" s="140"/>
      <c r="AW875" s="140"/>
      <c r="AX875" s="140"/>
      <c r="AY875" s="140"/>
      <c r="AZ875" s="140"/>
      <c r="BA875" s="140"/>
      <c r="BB875" s="140"/>
      <c r="BC875" s="140"/>
      <c r="BD875" s="140"/>
      <c r="BE875" s="140"/>
    </row>
    <row r="876" s="119" customFormat="1" ht="24" customHeight="1" outlineLevel="1" spans="1:57">
      <c r="A876" s="132" t="s">
        <v>413</v>
      </c>
      <c r="B876" s="8" t="s">
        <v>414</v>
      </c>
      <c r="C876" s="8"/>
      <c r="D876" s="133"/>
      <c r="E876" s="134"/>
      <c r="F876" s="134"/>
      <c r="G876" s="134"/>
      <c r="H876" s="134"/>
      <c r="I876" s="134"/>
      <c r="J876" s="134"/>
      <c r="K876" s="11"/>
      <c r="L876" s="178"/>
      <c r="M876" s="139"/>
      <c r="N876" s="139"/>
      <c r="O876" s="139" t="str">
        <f>_xlfn.DISPIMG("ID_BF1EDA8852A541B6AC34D90F51519C63",1)</f>
        <v>=DISPIMG("ID_BF1EDA8852A541B6AC34D90F51519C63",1)</v>
      </c>
      <c r="P876" s="137"/>
      <c r="Q876" s="137"/>
      <c r="R876" s="138"/>
      <c r="S876" s="137"/>
      <c r="T876" s="137"/>
      <c r="U876" s="137"/>
      <c r="V876" s="137"/>
      <c r="W876" s="139"/>
      <c r="X876" s="139"/>
      <c r="Y876" s="139"/>
      <c r="Z876" s="139"/>
      <c r="AA876" s="139"/>
      <c r="AB876" s="139"/>
      <c r="AC876" s="139"/>
      <c r="AD876" s="139"/>
      <c r="AE876" s="139"/>
      <c r="AF876" s="140"/>
      <c r="AG876" s="140"/>
      <c r="AH876" s="140"/>
      <c r="AI876" s="140"/>
      <c r="AJ876" s="140"/>
      <c r="AK876" s="140"/>
      <c r="AL876" s="140"/>
      <c r="AM876" s="140"/>
      <c r="AN876" s="140"/>
      <c r="AO876" s="140"/>
      <c r="AP876" s="140"/>
      <c r="AQ876" s="140"/>
      <c r="AR876" s="140"/>
      <c r="AS876" s="140"/>
      <c r="AT876" s="140"/>
      <c r="AU876" s="140"/>
      <c r="AV876" s="140"/>
      <c r="AW876" s="140"/>
      <c r="AX876" s="140"/>
      <c r="AY876" s="140"/>
      <c r="AZ876" s="140"/>
      <c r="BA876" s="140"/>
      <c r="BB876" s="140"/>
      <c r="BC876" s="140"/>
      <c r="BD876" s="140"/>
      <c r="BE876" s="140"/>
    </row>
    <row r="877" s="119" customFormat="1" ht="24" customHeight="1" outlineLevel="1" spans="1:57">
      <c r="A877" s="141"/>
      <c r="B877" s="14" t="s">
        <v>60</v>
      </c>
      <c r="C877" s="15"/>
      <c r="D877" s="142"/>
      <c r="E877" s="143"/>
      <c r="F877" s="143"/>
      <c r="G877" s="143"/>
      <c r="H877" s="143"/>
      <c r="I877" s="143"/>
      <c r="J877" s="143"/>
      <c r="K877" s="144"/>
      <c r="L877" s="178"/>
      <c r="M877" s="139"/>
      <c r="N877" s="139"/>
      <c r="O877" s="139"/>
      <c r="P877" s="137"/>
      <c r="Q877" s="137"/>
      <c r="R877" s="138"/>
      <c r="S877" s="137"/>
      <c r="T877" s="137"/>
      <c r="U877" s="137"/>
      <c r="V877" s="137"/>
      <c r="W877" s="139"/>
      <c r="X877" s="139"/>
      <c r="Y877" s="139"/>
      <c r="Z877" s="139"/>
      <c r="AA877" s="139"/>
      <c r="AB877" s="139"/>
      <c r="AC877" s="139"/>
      <c r="AD877" s="139"/>
      <c r="AE877" s="139"/>
      <c r="AF877" s="140"/>
      <c r="AG877" s="140"/>
      <c r="AH877" s="140"/>
      <c r="AI877" s="140"/>
      <c r="AJ877" s="140"/>
      <c r="AK877" s="140"/>
      <c r="AL877" s="140"/>
      <c r="AM877" s="140"/>
      <c r="AN877" s="140"/>
      <c r="AO877" s="140"/>
      <c r="AP877" s="140"/>
      <c r="AQ877" s="140"/>
      <c r="AR877" s="140"/>
      <c r="AS877" s="140"/>
      <c r="AT877" s="140"/>
      <c r="AU877" s="140"/>
      <c r="AV877" s="140"/>
      <c r="AW877" s="140"/>
      <c r="AX877" s="140"/>
      <c r="AY877" s="140"/>
      <c r="AZ877" s="140"/>
      <c r="BA877" s="140"/>
      <c r="BB877" s="140"/>
      <c r="BC877" s="140"/>
      <c r="BD877" s="140"/>
      <c r="BE877" s="140"/>
    </row>
    <row r="878" s="119" customFormat="1" ht="96" customHeight="1" outlineLevel="2" spans="1:57">
      <c r="A878" s="162">
        <f>1+N(A877)</f>
        <v>1</v>
      </c>
      <c r="B878" s="14" t="s">
        <v>220</v>
      </c>
      <c r="C878" s="15" t="s">
        <v>221</v>
      </c>
      <c r="D878" s="142" t="s">
        <v>63</v>
      </c>
      <c r="E878" s="143">
        <f>42.62-2.92</f>
        <v>39.7</v>
      </c>
      <c r="F878" s="143">
        <f>$F$339</f>
        <v>130</v>
      </c>
      <c r="G878" s="143">
        <f>$G$339</f>
        <v>628.3</v>
      </c>
      <c r="H878" s="17">
        <f>$H$339</f>
        <v>47.7</v>
      </c>
      <c r="I878" s="17">
        <f>(F878+G878+H878)*$I$3</f>
        <v>80.6</v>
      </c>
      <c r="J878" s="18">
        <f>ROUND(SUM(F878:I878),2)</f>
        <v>886.6</v>
      </c>
      <c r="K878" s="19">
        <f>ROUND(J878*E878,2)</f>
        <v>35198.02</v>
      </c>
      <c r="L878" s="178"/>
      <c r="M878" s="139">
        <v>1</v>
      </c>
      <c r="N878" s="139">
        <v>31998.2</v>
      </c>
      <c r="O878" s="139">
        <v>29.2</v>
      </c>
      <c r="P878" s="37">
        <f>Q878+Q878*R878+S878+T878+U878</f>
        <v>806</v>
      </c>
      <c r="Q878" s="99">
        <f>$Q$339</f>
        <v>610</v>
      </c>
      <c r="R878" s="163">
        <f>$R$339</f>
        <v>0.03</v>
      </c>
      <c r="S878" s="99">
        <f>$S$339</f>
        <v>130</v>
      </c>
      <c r="T878" s="99">
        <f>$T$339</f>
        <v>46.2</v>
      </c>
      <c r="U878" s="99">
        <f>$U$339</f>
        <v>1.5</v>
      </c>
      <c r="V878" s="37">
        <f>P878*E878</f>
        <v>31998.2</v>
      </c>
      <c r="W878" s="139"/>
      <c r="X878" s="139"/>
      <c r="Y878" s="139"/>
      <c r="Z878" s="139"/>
      <c r="AA878" s="139"/>
      <c r="AB878" s="139"/>
      <c r="AC878" s="139"/>
      <c r="AD878" s="139"/>
      <c r="AE878" s="139"/>
      <c r="AF878" s="140"/>
      <c r="AG878" s="140"/>
      <c r="AH878" s="140"/>
      <c r="AI878" s="140"/>
      <c r="AJ878" s="140"/>
      <c r="AK878" s="140"/>
      <c r="AL878" s="140"/>
      <c r="AM878" s="140"/>
      <c r="AN878" s="140"/>
      <c r="AO878" s="140"/>
      <c r="AP878" s="140"/>
      <c r="AQ878" s="140"/>
      <c r="AR878" s="140"/>
      <c r="AS878" s="140"/>
      <c r="AT878" s="140"/>
      <c r="AU878" s="140"/>
      <c r="AV878" s="140"/>
      <c r="AW878" s="140"/>
      <c r="AX878" s="140"/>
      <c r="AY878" s="140"/>
      <c r="AZ878" s="140"/>
      <c r="BA878" s="140"/>
      <c r="BB878" s="140"/>
      <c r="BC878" s="140"/>
      <c r="BD878" s="140"/>
      <c r="BE878" s="140"/>
    </row>
    <row r="879" s="119" customFormat="1" ht="108" customHeight="1" outlineLevel="2" spans="1:57">
      <c r="A879" s="145">
        <f>1+N(A878)</f>
        <v>2</v>
      </c>
      <c r="B879" s="146" t="s">
        <v>415</v>
      </c>
      <c r="C879" s="147" t="s">
        <v>416</v>
      </c>
      <c r="D879" s="148" t="s">
        <v>63</v>
      </c>
      <c r="E879" s="149">
        <f>29.2*0.1</f>
        <v>2.92</v>
      </c>
      <c r="F879" s="149">
        <f>S879*$S$1</f>
        <v>140</v>
      </c>
      <c r="G879" s="149">
        <f>Q879*(1+R879)*$Q$1</f>
        <v>854.9</v>
      </c>
      <c r="H879" s="149">
        <f>(T879+U879)*$T$1</f>
        <v>47.7</v>
      </c>
      <c r="I879" s="150">
        <f>(F879+G879+H879)*$I$3</f>
        <v>104.26</v>
      </c>
      <c r="J879" s="151">
        <f>ROUND(SUM(F879:I879),2)</f>
        <v>1146.86</v>
      </c>
      <c r="K879" s="152">
        <f>ROUND(J879*E879,2)</f>
        <v>3348.83</v>
      </c>
      <c r="L879" s="178"/>
      <c r="M879" s="139">
        <v>1</v>
      </c>
      <c r="N879" s="139">
        <v>3044.39</v>
      </c>
      <c r="O879" s="139"/>
      <c r="P879" s="37">
        <f>Q879+Q879*R879+S879+T879+U879</f>
        <v>1042.6</v>
      </c>
      <c r="Q879" s="71">
        <v>830</v>
      </c>
      <c r="R879" s="157">
        <v>0.03</v>
      </c>
      <c r="S879" s="71">
        <v>140</v>
      </c>
      <c r="T879" s="71">
        <v>46.2</v>
      </c>
      <c r="U879" s="71">
        <v>1.5</v>
      </c>
      <c r="V879" s="37">
        <f>P879*E879</f>
        <v>3044.392</v>
      </c>
      <c r="W879" s="139"/>
      <c r="X879" s="139"/>
      <c r="Y879" s="139"/>
      <c r="Z879" s="139"/>
      <c r="AA879" s="139"/>
      <c r="AB879" s="139"/>
      <c r="AC879" s="139"/>
      <c r="AD879" s="139"/>
      <c r="AE879" s="139"/>
      <c r="AF879" s="140"/>
      <c r="AG879" s="140"/>
      <c r="AH879" s="140"/>
      <c r="AI879" s="140"/>
      <c r="AJ879" s="140"/>
      <c r="AK879" s="140"/>
      <c r="AL879" s="140"/>
      <c r="AM879" s="140"/>
      <c r="AN879" s="140"/>
      <c r="AO879" s="140"/>
      <c r="AP879" s="140"/>
      <c r="AQ879" s="140"/>
      <c r="AR879" s="140"/>
      <c r="AS879" s="140"/>
      <c r="AT879" s="140"/>
      <c r="AU879" s="140"/>
      <c r="AV879" s="140"/>
      <c r="AW879" s="140"/>
      <c r="AX879" s="140"/>
      <c r="AY879" s="140"/>
      <c r="AZ879" s="140"/>
      <c r="BA879" s="140"/>
      <c r="BB879" s="140"/>
      <c r="BC879" s="140"/>
      <c r="BD879" s="140"/>
      <c r="BE879" s="140"/>
    </row>
    <row r="880" s="119" customFormat="1" ht="96" customHeight="1" outlineLevel="2" spans="1:57">
      <c r="A880" s="162">
        <f>1+N(A879)</f>
        <v>3</v>
      </c>
      <c r="B880" s="14" t="s">
        <v>280</v>
      </c>
      <c r="C880" s="15" t="s">
        <v>281</v>
      </c>
      <c r="D880" s="142" t="s">
        <v>63</v>
      </c>
      <c r="E880" s="143">
        <v>46.1</v>
      </c>
      <c r="F880" s="143">
        <f>$F$503</f>
        <v>90</v>
      </c>
      <c r="G880" s="143">
        <f>$G$503</f>
        <v>164.8</v>
      </c>
      <c r="H880" s="17">
        <f>$H$503</f>
        <v>50.6</v>
      </c>
      <c r="I880" s="17">
        <f>(F880+G880+H880)*$I$3</f>
        <v>30.54</v>
      </c>
      <c r="J880" s="18">
        <f>ROUND(SUM(F880:I880),2)</f>
        <v>335.94</v>
      </c>
      <c r="K880" s="19">
        <f>ROUND(J880*E880,2)</f>
        <v>15486.83</v>
      </c>
      <c r="L880" s="178"/>
      <c r="M880" s="139">
        <v>1</v>
      </c>
      <c r="N880" s="139">
        <v>14078.94</v>
      </c>
      <c r="O880" s="139"/>
      <c r="P880" s="37">
        <f>Q880+Q880*R880+S880+T880+U880</f>
        <v>305.4</v>
      </c>
      <c r="Q880" s="99">
        <f>$Q$503</f>
        <v>160</v>
      </c>
      <c r="R880" s="163">
        <f>$R$503</f>
        <v>0.03</v>
      </c>
      <c r="S880" s="99">
        <f>$S$503</f>
        <v>90</v>
      </c>
      <c r="T880" s="99">
        <f>$T$503</f>
        <v>50.1</v>
      </c>
      <c r="U880" s="99">
        <f>$U$503</f>
        <v>0.5</v>
      </c>
      <c r="V880" s="37">
        <f>P880*E880</f>
        <v>14078.94</v>
      </c>
      <c r="W880" s="139"/>
      <c r="X880" s="139"/>
      <c r="Y880" s="139"/>
      <c r="Z880" s="139"/>
      <c r="AA880" s="139"/>
      <c r="AB880" s="139"/>
      <c r="AC880" s="139"/>
      <c r="AD880" s="139"/>
      <c r="AE880" s="139"/>
      <c r="AF880" s="140"/>
      <c r="AG880" s="140"/>
      <c r="AH880" s="140"/>
      <c r="AI880" s="140"/>
      <c r="AJ880" s="140"/>
      <c r="AK880" s="140"/>
      <c r="AL880" s="140"/>
      <c r="AM880" s="140"/>
      <c r="AN880" s="140"/>
      <c r="AO880" s="140"/>
      <c r="AP880" s="140"/>
      <c r="AQ880" s="140"/>
      <c r="AR880" s="140"/>
      <c r="AS880" s="140"/>
      <c r="AT880" s="140"/>
      <c r="AU880" s="140"/>
      <c r="AV880" s="140"/>
      <c r="AW880" s="140"/>
      <c r="AX880" s="140"/>
      <c r="AY880" s="140"/>
      <c r="AZ880" s="140"/>
      <c r="BA880" s="140"/>
      <c r="BB880" s="140"/>
      <c r="BC880" s="140"/>
      <c r="BD880" s="140"/>
      <c r="BE880" s="140"/>
    </row>
    <row r="881" s="119" customFormat="1" ht="48" customHeight="1" outlineLevel="2" spans="1:57">
      <c r="A881" s="162">
        <f>1+N(A880)</f>
        <v>4</v>
      </c>
      <c r="B881" s="14" t="s">
        <v>71</v>
      </c>
      <c r="C881" s="15" t="s">
        <v>72</v>
      </c>
      <c r="D881" s="142" t="s">
        <v>63</v>
      </c>
      <c r="E881" s="143">
        <v>42.62</v>
      </c>
      <c r="F881" s="143">
        <f>$F$11</f>
        <v>40</v>
      </c>
      <c r="G881" s="143">
        <f>$G$11</f>
        <v>15</v>
      </c>
      <c r="H881" s="143">
        <f>$H$11</f>
        <v>0.8</v>
      </c>
      <c r="I881" s="17">
        <f>(F881+G881+H881)*$I$3</f>
        <v>5.58</v>
      </c>
      <c r="J881" s="18">
        <f>ROUND(SUM(F881:I881),2)</f>
        <v>61.38</v>
      </c>
      <c r="K881" s="19">
        <f>ROUND(J881*E881,2)</f>
        <v>2616.02</v>
      </c>
      <c r="L881" s="178"/>
      <c r="M881" s="139">
        <v>1</v>
      </c>
      <c r="N881" s="139">
        <v>2378.2</v>
      </c>
      <c r="O881" s="139"/>
      <c r="P881" s="37">
        <f>Q881+Q881*R881+S881+T881+U881</f>
        <v>55.8</v>
      </c>
      <c r="Q881" s="99">
        <f>$Q$11</f>
        <v>15</v>
      </c>
      <c r="R881" s="163">
        <f>$R$11</f>
        <v>0</v>
      </c>
      <c r="S881" s="99">
        <f>$S$11</f>
        <v>40</v>
      </c>
      <c r="T881" s="99">
        <f>$T$11</f>
        <v>0.5</v>
      </c>
      <c r="U881" s="99">
        <f>$U$11</f>
        <v>0.3</v>
      </c>
      <c r="V881" s="37">
        <f>P881*E881</f>
        <v>2378.196</v>
      </c>
      <c r="W881" s="139"/>
      <c r="X881" s="139"/>
      <c r="Y881" s="139"/>
      <c r="Z881" s="139"/>
      <c r="AA881" s="139"/>
      <c r="AB881" s="139"/>
      <c r="AC881" s="139"/>
      <c r="AD881" s="139"/>
      <c r="AE881" s="139"/>
      <c r="AF881" s="140"/>
      <c r="AG881" s="140"/>
      <c r="AH881" s="140"/>
      <c r="AI881" s="140"/>
      <c r="AJ881" s="140"/>
      <c r="AK881" s="140"/>
      <c r="AL881" s="140"/>
      <c r="AM881" s="140"/>
      <c r="AN881" s="140"/>
      <c r="AO881" s="140"/>
      <c r="AP881" s="140"/>
      <c r="AQ881" s="140"/>
      <c r="AR881" s="140"/>
      <c r="AS881" s="140"/>
      <c r="AT881" s="140"/>
      <c r="AU881" s="140"/>
      <c r="AV881" s="140"/>
      <c r="AW881" s="140"/>
      <c r="AX881" s="140"/>
      <c r="AY881" s="140"/>
      <c r="AZ881" s="140"/>
      <c r="BA881" s="140"/>
      <c r="BB881" s="140"/>
      <c r="BC881" s="140"/>
      <c r="BD881" s="140"/>
      <c r="BE881" s="140"/>
    </row>
    <row r="882" s="119" customFormat="1" ht="24" customHeight="1" outlineLevel="1" spans="1:57">
      <c r="A882" s="141"/>
      <c r="B882" s="14" t="s">
        <v>73</v>
      </c>
      <c r="C882" s="15"/>
      <c r="D882" s="142"/>
      <c r="E882" s="143"/>
      <c r="F882" s="143"/>
      <c r="G882" s="143"/>
      <c r="H882" s="143"/>
      <c r="I882" s="143"/>
      <c r="J882" s="143"/>
      <c r="K882" s="144"/>
      <c r="L882" s="178"/>
      <c r="M882" s="139"/>
      <c r="N882" s="139"/>
      <c r="O882" s="139"/>
      <c r="P882" s="137"/>
      <c r="Q882" s="137"/>
      <c r="R882" s="138"/>
      <c r="S882" s="137"/>
      <c r="T882" s="137"/>
      <c r="U882" s="137"/>
      <c r="V882" s="137"/>
      <c r="W882" s="139"/>
      <c r="X882" s="139"/>
      <c r="Y882" s="139"/>
      <c r="Z882" s="139"/>
      <c r="AA882" s="139"/>
      <c r="AB882" s="139"/>
      <c r="AC882" s="139"/>
      <c r="AD882" s="139"/>
      <c r="AE882" s="139"/>
      <c r="AF882" s="140"/>
      <c r="AG882" s="140"/>
      <c r="AH882" s="140"/>
      <c r="AI882" s="140"/>
      <c r="AJ882" s="140"/>
      <c r="AK882" s="140"/>
      <c r="AL882" s="140"/>
      <c r="AM882" s="140"/>
      <c r="AN882" s="140"/>
      <c r="AO882" s="140"/>
      <c r="AP882" s="140"/>
      <c r="AQ882" s="140"/>
      <c r="AR882" s="140"/>
      <c r="AS882" s="140"/>
      <c r="AT882" s="140"/>
      <c r="AU882" s="140"/>
      <c r="AV882" s="140"/>
      <c r="AW882" s="140"/>
      <c r="AX882" s="140"/>
      <c r="AY882" s="140"/>
      <c r="AZ882" s="140"/>
      <c r="BA882" s="140"/>
      <c r="BB882" s="140"/>
      <c r="BC882" s="140"/>
      <c r="BD882" s="140"/>
      <c r="BE882" s="140"/>
    </row>
    <row r="883" s="119" customFormat="1" ht="96" customHeight="1" outlineLevel="2" spans="1:57">
      <c r="A883" s="162">
        <f t="shared" ref="A883:A890" si="267">1+N(A882)</f>
        <v>1</v>
      </c>
      <c r="B883" s="165" t="s">
        <v>76</v>
      </c>
      <c r="C883" s="166" t="s">
        <v>258</v>
      </c>
      <c r="D883" s="142" t="s">
        <v>63</v>
      </c>
      <c r="E883" s="143">
        <v>37.122</v>
      </c>
      <c r="F883" s="143">
        <f>$F$459</f>
        <v>140</v>
      </c>
      <c r="G883" s="143">
        <f>$G$459</f>
        <v>682.5</v>
      </c>
      <c r="H883" s="143">
        <f>$H$459</f>
        <v>113.55</v>
      </c>
      <c r="I883" s="17">
        <f t="shared" ref="I883:I890" si="268">(F883+G883+H883)*$I$3</f>
        <v>93.605</v>
      </c>
      <c r="J883" s="18">
        <f t="shared" ref="J883:J890" si="269">ROUND(SUM(F883:I883),2)</f>
        <v>1029.66</v>
      </c>
      <c r="K883" s="19">
        <f t="shared" ref="K883:K890" si="270">ROUND(J883*E883,2)</f>
        <v>38223.04</v>
      </c>
      <c r="L883" s="178"/>
      <c r="M883" s="139">
        <v>1</v>
      </c>
      <c r="N883" s="139">
        <v>34748.05</v>
      </c>
      <c r="O883" s="139"/>
      <c r="P883" s="37">
        <f t="shared" ref="P883:P890" si="271">Q883+Q883*R883+S883+T883+U883</f>
        <v>936.05</v>
      </c>
      <c r="Q883" s="99">
        <f>$Q$459</f>
        <v>650</v>
      </c>
      <c r="R883" s="163">
        <f>$R$459</f>
        <v>0.05</v>
      </c>
      <c r="S883" s="99">
        <f>$S$459</f>
        <v>140</v>
      </c>
      <c r="T883" s="99">
        <f>$T$459</f>
        <v>111.75</v>
      </c>
      <c r="U883" s="99">
        <f>$U$459</f>
        <v>1.8</v>
      </c>
      <c r="V883" s="37">
        <f t="shared" ref="V883:V890" si="272">P883*E883</f>
        <v>34748.0481</v>
      </c>
      <c r="W883" s="139"/>
      <c r="X883" s="139"/>
      <c r="Y883" s="139"/>
      <c r="Z883" s="139"/>
      <c r="AA883" s="139"/>
      <c r="AB883" s="139"/>
      <c r="AC883" s="139"/>
      <c r="AD883" s="139"/>
      <c r="AE883" s="139"/>
      <c r="AF883" s="140"/>
      <c r="AG883" s="140"/>
      <c r="AH883" s="140"/>
      <c r="AI883" s="140"/>
      <c r="AJ883" s="140"/>
      <c r="AK883" s="140"/>
      <c r="AL883" s="140"/>
      <c r="AM883" s="140"/>
      <c r="AN883" s="140"/>
      <c r="AO883" s="140"/>
      <c r="AP883" s="140"/>
      <c r="AQ883" s="140"/>
      <c r="AR883" s="140"/>
      <c r="AS883" s="140"/>
      <c r="AT883" s="140"/>
      <c r="AU883" s="140"/>
      <c r="AV883" s="140"/>
      <c r="AW883" s="140"/>
      <c r="AX883" s="140"/>
      <c r="AY883" s="140"/>
      <c r="AZ883" s="140"/>
      <c r="BA883" s="140"/>
      <c r="BB883" s="140"/>
      <c r="BC883" s="140"/>
      <c r="BD883" s="140"/>
      <c r="BE883" s="140"/>
    </row>
    <row r="884" s="119" customFormat="1" ht="96" customHeight="1" outlineLevel="2" spans="1:57">
      <c r="A884" s="162">
        <f t="shared" si="267"/>
        <v>2</v>
      </c>
      <c r="B884" s="165" t="s">
        <v>78</v>
      </c>
      <c r="C884" s="166" t="s">
        <v>259</v>
      </c>
      <c r="D884" s="142" t="s">
        <v>63</v>
      </c>
      <c r="E884" s="143">
        <v>3.593</v>
      </c>
      <c r="F884" s="143">
        <f>$F$460</f>
        <v>140</v>
      </c>
      <c r="G884" s="143">
        <f>$G$460</f>
        <v>813.75</v>
      </c>
      <c r="H884" s="143">
        <f>$H$460</f>
        <v>113.55</v>
      </c>
      <c r="I884" s="17">
        <f t="shared" si="268"/>
        <v>106.73</v>
      </c>
      <c r="J884" s="18">
        <f t="shared" si="269"/>
        <v>1174.03</v>
      </c>
      <c r="K884" s="19">
        <f t="shared" si="270"/>
        <v>4218.29</v>
      </c>
      <c r="L884" s="178"/>
      <c r="M884" s="139">
        <v>1</v>
      </c>
      <c r="N884" s="139">
        <v>3834.81</v>
      </c>
      <c r="O884" s="139"/>
      <c r="P884" s="37">
        <f t="shared" si="271"/>
        <v>1067.3</v>
      </c>
      <c r="Q884" s="99">
        <f>$Q$460</f>
        <v>775</v>
      </c>
      <c r="R884" s="163">
        <f>$R$460</f>
        <v>0.05</v>
      </c>
      <c r="S884" s="99">
        <f>$S$460</f>
        <v>140</v>
      </c>
      <c r="T884" s="99">
        <f>$T$460</f>
        <v>111.75</v>
      </c>
      <c r="U884" s="99">
        <f>$U$460</f>
        <v>1.8</v>
      </c>
      <c r="V884" s="37">
        <f t="shared" si="272"/>
        <v>3834.8089</v>
      </c>
      <c r="W884" s="139"/>
      <c r="X884" s="139"/>
      <c r="Y884" s="139"/>
      <c r="Z884" s="139"/>
      <c r="AA884" s="139"/>
      <c r="AB884" s="139"/>
      <c r="AC884" s="139"/>
      <c r="AD884" s="139"/>
      <c r="AE884" s="139"/>
      <c r="AF884" s="140"/>
      <c r="AG884" s="140"/>
      <c r="AH884" s="140"/>
      <c r="AI884" s="140"/>
      <c r="AJ884" s="140"/>
      <c r="AK884" s="140"/>
      <c r="AL884" s="140"/>
      <c r="AM884" s="140"/>
      <c r="AN884" s="140"/>
      <c r="AO884" s="140"/>
      <c r="AP884" s="140"/>
      <c r="AQ884" s="140"/>
      <c r="AR884" s="140"/>
      <c r="AS884" s="140"/>
      <c r="AT884" s="140"/>
      <c r="AU884" s="140"/>
      <c r="AV884" s="140"/>
      <c r="AW884" s="140"/>
      <c r="AX884" s="140"/>
      <c r="AY884" s="140"/>
      <c r="AZ884" s="140"/>
      <c r="BA884" s="140"/>
      <c r="BB884" s="140"/>
      <c r="BC884" s="140"/>
      <c r="BD884" s="140"/>
      <c r="BE884" s="140"/>
    </row>
    <row r="885" s="119" customFormat="1" ht="64.5" customHeight="1" outlineLevel="2" spans="1:57">
      <c r="A885" s="145">
        <f t="shared" si="267"/>
        <v>3</v>
      </c>
      <c r="B885" s="159" t="s">
        <v>417</v>
      </c>
      <c r="C885" s="182" t="s">
        <v>418</v>
      </c>
      <c r="D885" s="148" t="s">
        <v>63</v>
      </c>
      <c r="E885" s="149">
        <v>4.96</v>
      </c>
      <c r="F885" s="149">
        <f>S885*$S$1</f>
        <v>71</v>
      </c>
      <c r="G885" s="149">
        <f>Q885*(1+R885)*$Q$1</f>
        <v>260</v>
      </c>
      <c r="H885" s="149">
        <f>(T885+U885)*$T$1</f>
        <v>37.5</v>
      </c>
      <c r="I885" s="150">
        <f t="shared" si="268"/>
        <v>36.85</v>
      </c>
      <c r="J885" s="151">
        <f t="shared" si="269"/>
        <v>405.35</v>
      </c>
      <c r="K885" s="152">
        <f t="shared" si="270"/>
        <v>2010.54</v>
      </c>
      <c r="L885" s="178"/>
      <c r="M885" s="139">
        <v>1</v>
      </c>
      <c r="N885" s="139">
        <v>1827.76</v>
      </c>
      <c r="O885" s="139"/>
      <c r="P885" s="37">
        <f t="shared" si="271"/>
        <v>368.5</v>
      </c>
      <c r="Q885" s="71">
        <v>260</v>
      </c>
      <c r="R885" s="157">
        <v>0</v>
      </c>
      <c r="S885" s="71">
        <v>71</v>
      </c>
      <c r="T885" s="71">
        <v>37</v>
      </c>
      <c r="U885" s="71">
        <v>0.5</v>
      </c>
      <c r="V885" s="37">
        <f t="shared" si="272"/>
        <v>1827.76</v>
      </c>
      <c r="W885" s="139"/>
      <c r="X885" s="139"/>
      <c r="Y885" s="139"/>
      <c r="Z885" s="139"/>
      <c r="AA885" s="139"/>
      <c r="AB885" s="139"/>
      <c r="AC885" s="139"/>
      <c r="AD885" s="139"/>
      <c r="AE885" s="139"/>
      <c r="AF885" s="140"/>
      <c r="AG885" s="140"/>
      <c r="AH885" s="140"/>
      <c r="AI885" s="140"/>
      <c r="AJ885" s="140"/>
      <c r="AK885" s="140"/>
      <c r="AL885" s="140"/>
      <c r="AM885" s="140"/>
      <c r="AN885" s="140"/>
      <c r="AO885" s="140"/>
      <c r="AP885" s="140"/>
      <c r="AQ885" s="140"/>
      <c r="AR885" s="140"/>
      <c r="AS885" s="140"/>
      <c r="AT885" s="140"/>
      <c r="AU885" s="140"/>
      <c r="AV885" s="140"/>
      <c r="AW885" s="140"/>
      <c r="AX885" s="140"/>
      <c r="AY885" s="140"/>
      <c r="AZ885" s="140"/>
      <c r="BA885" s="140"/>
      <c r="BB885" s="140"/>
      <c r="BC885" s="140"/>
      <c r="BD885" s="140"/>
      <c r="BE885" s="140"/>
    </row>
    <row r="886" s="119" customFormat="1" ht="60" customHeight="1" outlineLevel="2" spans="1:57">
      <c r="A886" s="162">
        <f t="shared" si="267"/>
        <v>4</v>
      </c>
      <c r="B886" s="14" t="s">
        <v>287</v>
      </c>
      <c r="C886" s="15" t="s">
        <v>288</v>
      </c>
      <c r="D886" s="142" t="s">
        <v>63</v>
      </c>
      <c r="E886" s="143">
        <v>6.307</v>
      </c>
      <c r="F886" s="143">
        <f>$F$518</f>
        <v>55</v>
      </c>
      <c r="G886" s="143">
        <f>$G$518</f>
        <v>597.4</v>
      </c>
      <c r="H886" s="143">
        <f>$H$518</f>
        <v>16.2</v>
      </c>
      <c r="I886" s="17">
        <f t="shared" si="268"/>
        <v>66.86</v>
      </c>
      <c r="J886" s="18">
        <f t="shared" si="269"/>
        <v>735.46</v>
      </c>
      <c r="K886" s="19">
        <f t="shared" si="270"/>
        <v>4638.55</v>
      </c>
      <c r="L886" s="178"/>
      <c r="M886" s="139">
        <v>1</v>
      </c>
      <c r="N886" s="139">
        <v>4216.86</v>
      </c>
      <c r="O886" s="139"/>
      <c r="P886" s="37">
        <f t="shared" si="271"/>
        <v>668.6</v>
      </c>
      <c r="Q886" s="99">
        <f>$Q$518</f>
        <v>580</v>
      </c>
      <c r="R886" s="163">
        <f>$R$518</f>
        <v>0.03</v>
      </c>
      <c r="S886" s="99">
        <f>$S$518</f>
        <v>55</v>
      </c>
      <c r="T886" s="99">
        <f>$T$518</f>
        <v>15</v>
      </c>
      <c r="U886" s="99">
        <f>$U$518</f>
        <v>1.2</v>
      </c>
      <c r="V886" s="37">
        <f t="shared" si="272"/>
        <v>4216.8602</v>
      </c>
      <c r="W886" s="139"/>
      <c r="X886" s="139"/>
      <c r="Y886" s="139"/>
      <c r="Z886" s="139"/>
      <c r="AA886" s="139"/>
      <c r="AB886" s="139"/>
      <c r="AC886" s="139"/>
      <c r="AD886" s="139"/>
      <c r="AE886" s="139"/>
      <c r="AF886" s="140"/>
      <c r="AG886" s="140"/>
      <c r="AH886" s="140"/>
      <c r="AI886" s="140"/>
      <c r="AJ886" s="140"/>
      <c r="AK886" s="140"/>
      <c r="AL886" s="140"/>
      <c r="AM886" s="140"/>
      <c r="AN886" s="140"/>
      <c r="AO886" s="140"/>
      <c r="AP886" s="140"/>
      <c r="AQ886" s="140"/>
      <c r="AR886" s="140"/>
      <c r="AS886" s="140"/>
      <c r="AT886" s="140"/>
      <c r="AU886" s="140"/>
      <c r="AV886" s="140"/>
      <c r="AW886" s="140"/>
      <c r="AX886" s="140"/>
      <c r="AY886" s="140"/>
      <c r="AZ886" s="140"/>
      <c r="BA886" s="140"/>
      <c r="BB886" s="140"/>
      <c r="BC886" s="140"/>
      <c r="BD886" s="140"/>
      <c r="BE886" s="140"/>
    </row>
    <row r="887" s="119" customFormat="1" ht="60" customHeight="1" outlineLevel="2" spans="1:57">
      <c r="A887" s="162">
        <f t="shared" si="267"/>
        <v>5</v>
      </c>
      <c r="B887" s="14" t="s">
        <v>228</v>
      </c>
      <c r="C887" s="15" t="s">
        <v>229</v>
      </c>
      <c r="D887" s="142" t="s">
        <v>63</v>
      </c>
      <c r="E887" s="143">
        <v>39.245</v>
      </c>
      <c r="F887" s="143">
        <f>$F$347</f>
        <v>110</v>
      </c>
      <c r="G887" s="143">
        <f>$G$347</f>
        <v>86.355</v>
      </c>
      <c r="H887" s="143">
        <f>$H$347</f>
        <v>56.797</v>
      </c>
      <c r="I887" s="17">
        <f t="shared" si="268"/>
        <v>25.3152</v>
      </c>
      <c r="J887" s="18">
        <f t="shared" si="269"/>
        <v>278.47</v>
      </c>
      <c r="K887" s="19">
        <f t="shared" si="270"/>
        <v>10928.56</v>
      </c>
      <c r="L887" s="178"/>
      <c r="M887" s="139">
        <v>1</v>
      </c>
      <c r="N887" s="139">
        <v>9934.87</v>
      </c>
      <c r="O887" s="139"/>
      <c r="P887" s="37">
        <f t="shared" si="271"/>
        <v>253.152</v>
      </c>
      <c r="Q887" s="99">
        <f>$Q$347</f>
        <v>85.5</v>
      </c>
      <c r="R887" s="163">
        <f>$R$347</f>
        <v>0.01</v>
      </c>
      <c r="S887" s="99">
        <f>$S$347</f>
        <v>110</v>
      </c>
      <c r="T887" s="99">
        <f>$T$347</f>
        <v>55.997</v>
      </c>
      <c r="U887" s="99">
        <f>$U$347</f>
        <v>0.8</v>
      </c>
      <c r="V887" s="37">
        <f t="shared" si="272"/>
        <v>9934.95024</v>
      </c>
      <c r="W887" s="139"/>
      <c r="X887" s="139"/>
      <c r="Y887" s="139"/>
      <c r="Z887" s="139"/>
      <c r="AA887" s="139"/>
      <c r="AB887" s="139"/>
      <c r="AC887" s="139"/>
      <c r="AD887" s="139"/>
      <c r="AE887" s="139"/>
      <c r="AF887" s="140"/>
      <c r="AG887" s="140"/>
      <c r="AH887" s="140"/>
      <c r="AI887" s="140"/>
      <c r="AJ887" s="140"/>
      <c r="AK887" s="140"/>
      <c r="AL887" s="140"/>
      <c r="AM887" s="140"/>
      <c r="AN887" s="140"/>
      <c r="AO887" s="140"/>
      <c r="AP887" s="140"/>
      <c r="AQ887" s="140"/>
      <c r="AR887" s="140"/>
      <c r="AS887" s="140"/>
      <c r="AT887" s="140"/>
      <c r="AU887" s="140"/>
      <c r="AV887" s="140"/>
      <c r="AW887" s="140"/>
      <c r="AX887" s="140"/>
      <c r="AY887" s="140"/>
      <c r="AZ887" s="140"/>
      <c r="BA887" s="140"/>
      <c r="BB887" s="140"/>
      <c r="BC887" s="140"/>
      <c r="BD887" s="140"/>
      <c r="BE887" s="140"/>
    </row>
    <row r="888" s="119" customFormat="1" ht="60" customHeight="1" outlineLevel="2" spans="1:57">
      <c r="A888" s="162">
        <f t="shared" si="267"/>
        <v>6</v>
      </c>
      <c r="B888" s="14" t="s">
        <v>174</v>
      </c>
      <c r="C888" s="15" t="s">
        <v>262</v>
      </c>
      <c r="D888" s="142" t="s">
        <v>63</v>
      </c>
      <c r="E888" s="143">
        <f>11.886+0.908*7.78</f>
        <v>18.95024</v>
      </c>
      <c r="F888" s="143">
        <f>$F$463</f>
        <v>110</v>
      </c>
      <c r="G888" s="143">
        <f>$G$463</f>
        <v>87.55</v>
      </c>
      <c r="H888" s="143">
        <f>$H$463</f>
        <v>126.35</v>
      </c>
      <c r="I888" s="17">
        <f t="shared" si="268"/>
        <v>32.39</v>
      </c>
      <c r="J888" s="18">
        <f t="shared" si="269"/>
        <v>356.29</v>
      </c>
      <c r="K888" s="19">
        <f t="shared" si="270"/>
        <v>6751.78</v>
      </c>
      <c r="L888" s="178"/>
      <c r="M888" s="139">
        <v>1</v>
      </c>
      <c r="N888" s="139">
        <v>6137.98</v>
      </c>
      <c r="O888" s="139"/>
      <c r="P888" s="37">
        <f t="shared" si="271"/>
        <v>323.9</v>
      </c>
      <c r="Q888" s="99">
        <f>$Q$463</f>
        <v>85</v>
      </c>
      <c r="R888" s="163">
        <f>$R$463</f>
        <v>0.03</v>
      </c>
      <c r="S888" s="99">
        <f>$S$463</f>
        <v>110</v>
      </c>
      <c r="T888" s="99">
        <f>$T$463</f>
        <v>125.75</v>
      </c>
      <c r="U888" s="99">
        <f>$U$463</f>
        <v>0.6</v>
      </c>
      <c r="V888" s="37">
        <f t="shared" si="272"/>
        <v>6137.982736</v>
      </c>
      <c r="W888" s="139"/>
      <c r="X888" s="139"/>
      <c r="Y888" s="139"/>
      <c r="Z888" s="139"/>
      <c r="AA888" s="139"/>
      <c r="AB888" s="139"/>
      <c r="AC888" s="139"/>
      <c r="AD888" s="139"/>
      <c r="AE888" s="139"/>
      <c r="AF888" s="140"/>
      <c r="AG888" s="140"/>
      <c r="AH888" s="140"/>
      <c r="AI888" s="140"/>
      <c r="AJ888" s="140"/>
      <c r="AK888" s="140"/>
      <c r="AL888" s="140"/>
      <c r="AM888" s="140"/>
      <c r="AN888" s="140"/>
      <c r="AO888" s="140"/>
      <c r="AP888" s="140"/>
      <c r="AQ888" s="140"/>
      <c r="AR888" s="140"/>
      <c r="AS888" s="140"/>
      <c r="AT888" s="140"/>
      <c r="AU888" s="140"/>
      <c r="AV888" s="140"/>
      <c r="AW888" s="140"/>
      <c r="AX888" s="140"/>
      <c r="AY888" s="140"/>
      <c r="AZ888" s="140"/>
      <c r="BA888" s="140"/>
      <c r="BB888" s="140"/>
      <c r="BC888" s="140"/>
      <c r="BD888" s="140"/>
      <c r="BE888" s="140"/>
    </row>
    <row r="889" s="119" customFormat="1" ht="60" customHeight="1" outlineLevel="2" spans="1:57">
      <c r="A889" s="162">
        <f t="shared" si="267"/>
        <v>7</v>
      </c>
      <c r="B889" s="14" t="s">
        <v>233</v>
      </c>
      <c r="C889" s="15" t="s">
        <v>234</v>
      </c>
      <c r="D889" s="142" t="s">
        <v>63</v>
      </c>
      <c r="E889" s="143">
        <v>9.31</v>
      </c>
      <c r="F889" s="143">
        <f>$F$350</f>
        <v>150</v>
      </c>
      <c r="G889" s="143">
        <f>$G$350</f>
        <v>277.2</v>
      </c>
      <c r="H889" s="143">
        <f>$H$350</f>
        <v>94</v>
      </c>
      <c r="I889" s="17">
        <f t="shared" si="268"/>
        <v>52.12</v>
      </c>
      <c r="J889" s="18">
        <f t="shared" si="269"/>
        <v>573.32</v>
      </c>
      <c r="K889" s="19">
        <f t="shared" si="270"/>
        <v>5337.61</v>
      </c>
      <c r="L889" s="178"/>
      <c r="M889" s="139">
        <v>1</v>
      </c>
      <c r="N889" s="139">
        <v>4852.37</v>
      </c>
      <c r="O889" s="139"/>
      <c r="P889" s="37">
        <f t="shared" si="271"/>
        <v>521.2</v>
      </c>
      <c r="Q889" s="99">
        <f>$Q$350</f>
        <v>264</v>
      </c>
      <c r="R889" s="163">
        <f>$R$350</f>
        <v>0.05</v>
      </c>
      <c r="S889" s="99">
        <f>$S$350</f>
        <v>150</v>
      </c>
      <c r="T889" s="99">
        <f>$T$350</f>
        <v>92.5</v>
      </c>
      <c r="U889" s="99">
        <f>$U$350</f>
        <v>1.5</v>
      </c>
      <c r="V889" s="37">
        <f t="shared" si="272"/>
        <v>4852.372</v>
      </c>
      <c r="W889" s="139"/>
      <c r="X889" s="139"/>
      <c r="Y889" s="139"/>
      <c r="Z889" s="139"/>
      <c r="AA889" s="139"/>
      <c r="AB889" s="139"/>
      <c r="AC889" s="139"/>
      <c r="AD889" s="139"/>
      <c r="AE889" s="139"/>
      <c r="AF889" s="140"/>
      <c r="AG889" s="140"/>
      <c r="AH889" s="140"/>
      <c r="AI889" s="140"/>
      <c r="AJ889" s="140"/>
      <c r="AK889" s="140"/>
      <c r="AL889" s="140"/>
      <c r="AM889" s="140"/>
      <c r="AN889" s="140"/>
      <c r="AO889" s="140"/>
      <c r="AP889" s="140"/>
      <c r="AQ889" s="140"/>
      <c r="AR889" s="140"/>
      <c r="AS889" s="140"/>
      <c r="AT889" s="140"/>
      <c r="AU889" s="140"/>
      <c r="AV889" s="140"/>
      <c r="AW889" s="140"/>
      <c r="AX889" s="140"/>
      <c r="AY889" s="140"/>
      <c r="AZ889" s="140"/>
      <c r="BA889" s="140"/>
      <c r="BB889" s="140"/>
      <c r="BC889" s="140"/>
      <c r="BD889" s="140"/>
      <c r="BE889" s="140"/>
    </row>
    <row r="890" s="119" customFormat="1" ht="60" customHeight="1" outlineLevel="2" spans="1:57">
      <c r="A890" s="162">
        <f t="shared" si="267"/>
        <v>8</v>
      </c>
      <c r="B890" s="14" t="s">
        <v>91</v>
      </c>
      <c r="C890" s="15" t="s">
        <v>92</v>
      </c>
      <c r="D890" s="142" t="s">
        <v>70</v>
      </c>
      <c r="E890" s="143">
        <v>35.42</v>
      </c>
      <c r="F890" s="143">
        <f>$F$22</f>
        <v>12</v>
      </c>
      <c r="G890" s="143">
        <f>$G$22</f>
        <v>25.75</v>
      </c>
      <c r="H890" s="143">
        <f>$H$22</f>
        <v>3.8</v>
      </c>
      <c r="I890" s="17">
        <f t="shared" si="268"/>
        <v>4.155</v>
      </c>
      <c r="J890" s="18">
        <f t="shared" si="269"/>
        <v>45.71</v>
      </c>
      <c r="K890" s="19">
        <f t="shared" si="270"/>
        <v>1619.05</v>
      </c>
      <c r="L890" s="178"/>
      <c r="M890" s="139">
        <v>1</v>
      </c>
      <c r="N890" s="139">
        <v>1471.7</v>
      </c>
      <c r="O890" s="139"/>
      <c r="P890" s="37">
        <f t="shared" si="271"/>
        <v>41.55</v>
      </c>
      <c r="Q890" s="99">
        <f>$Q$22</f>
        <v>25</v>
      </c>
      <c r="R890" s="163">
        <f>$R$22</f>
        <v>0.03</v>
      </c>
      <c r="S890" s="99">
        <f>$S$22</f>
        <v>12</v>
      </c>
      <c r="T890" s="99">
        <f>$T$22</f>
        <v>3.5</v>
      </c>
      <c r="U890" s="99">
        <f>$U$22</f>
        <v>0.3</v>
      </c>
      <c r="V890" s="37">
        <f t="shared" si="272"/>
        <v>1471.701</v>
      </c>
      <c r="W890" s="139"/>
      <c r="X890" s="139"/>
      <c r="Y890" s="139"/>
      <c r="Z890" s="139"/>
      <c r="AA890" s="139"/>
      <c r="AB890" s="139"/>
      <c r="AC890" s="139"/>
      <c r="AD890" s="139"/>
      <c r="AE890" s="139"/>
      <c r="AF890" s="140"/>
      <c r="AG890" s="140"/>
      <c r="AH890" s="140"/>
      <c r="AI890" s="140"/>
      <c r="AJ890" s="140"/>
      <c r="AK890" s="140"/>
      <c r="AL890" s="140"/>
      <c r="AM890" s="140"/>
      <c r="AN890" s="140"/>
      <c r="AO890" s="140"/>
      <c r="AP890" s="140"/>
      <c r="AQ890" s="140"/>
      <c r="AR890" s="140"/>
      <c r="AS890" s="140"/>
      <c r="AT890" s="140"/>
      <c r="AU890" s="140"/>
      <c r="AV890" s="140"/>
      <c r="AW890" s="140"/>
      <c r="AX890" s="140"/>
      <c r="AY890" s="140"/>
      <c r="AZ890" s="140"/>
      <c r="BA890" s="140"/>
      <c r="BB890" s="140"/>
      <c r="BC890" s="140"/>
      <c r="BD890" s="140"/>
      <c r="BE890" s="140"/>
    </row>
    <row r="891" s="119" customFormat="1" ht="24" customHeight="1" outlineLevel="1" spans="1:57">
      <c r="A891" s="141"/>
      <c r="B891" s="14" t="s">
        <v>101</v>
      </c>
      <c r="C891" s="15"/>
      <c r="D891" s="142"/>
      <c r="E891" s="143"/>
      <c r="F891" s="143"/>
      <c r="G891" s="143"/>
      <c r="H891" s="143"/>
      <c r="I891" s="143"/>
      <c r="J891" s="143"/>
      <c r="K891" s="144"/>
      <c r="L891" s="178"/>
      <c r="M891" s="139"/>
      <c r="N891" s="139"/>
      <c r="O891" s="139"/>
      <c r="P891" s="137"/>
      <c r="Q891" s="137"/>
      <c r="R891" s="138"/>
      <c r="S891" s="137"/>
      <c r="T891" s="137"/>
      <c r="U891" s="137"/>
      <c r="V891" s="137"/>
      <c r="W891" s="139"/>
      <c r="X891" s="139"/>
      <c r="Y891" s="139"/>
      <c r="Z891" s="139"/>
      <c r="AA891" s="139"/>
      <c r="AB891" s="139"/>
      <c r="AC891" s="139"/>
      <c r="AD891" s="139"/>
      <c r="AE891" s="139"/>
      <c r="AF891" s="140"/>
      <c r="AG891" s="140"/>
      <c r="AH891" s="140"/>
      <c r="AI891" s="140"/>
      <c r="AJ891" s="140"/>
      <c r="AK891" s="140"/>
      <c r="AL891" s="140"/>
      <c r="AM891" s="140"/>
      <c r="AN891" s="140"/>
      <c r="AO891" s="140"/>
      <c r="AP891" s="140"/>
      <c r="AQ891" s="140"/>
      <c r="AR891" s="140"/>
      <c r="AS891" s="140"/>
      <c r="AT891" s="140"/>
      <c r="AU891" s="140"/>
      <c r="AV891" s="140"/>
      <c r="AW891" s="140"/>
      <c r="AX891" s="140"/>
      <c r="AY891" s="140"/>
      <c r="AZ891" s="140"/>
      <c r="BA891" s="140"/>
      <c r="BB891" s="140"/>
      <c r="BC891" s="140"/>
      <c r="BD891" s="140"/>
      <c r="BE891" s="140"/>
    </row>
    <row r="892" s="119" customFormat="1" ht="96" customHeight="1" outlineLevel="2" spans="1:57">
      <c r="A892" s="162">
        <f t="shared" ref="A892:A901" si="273">1+N(A891)</f>
        <v>1</v>
      </c>
      <c r="B892" s="14" t="s">
        <v>102</v>
      </c>
      <c r="C892" s="167" t="s">
        <v>103</v>
      </c>
      <c r="D892" s="142" t="s">
        <v>63</v>
      </c>
      <c r="E892" s="143">
        <f>88.7-9.96-10.27-8.61</f>
        <v>59.86</v>
      </c>
      <c r="F892" s="143">
        <f>$F$28</f>
        <v>70</v>
      </c>
      <c r="G892" s="143">
        <f>$G$28</f>
        <v>0</v>
      </c>
      <c r="H892" s="143">
        <f>$H$28</f>
        <v>66.711</v>
      </c>
      <c r="I892" s="17">
        <f t="shared" ref="I892:I901" si="274">(F892+G892+H892)*$I$3</f>
        <v>13.6711</v>
      </c>
      <c r="J892" s="18">
        <f t="shared" ref="J892:J901" si="275">ROUND(SUM(F892:I892),2)</f>
        <v>150.38</v>
      </c>
      <c r="K892" s="19">
        <f t="shared" ref="K892:K901" si="276">ROUND(J892*E892,2)</f>
        <v>9001.75</v>
      </c>
      <c r="L892" s="178"/>
      <c r="M892" s="139">
        <v>1</v>
      </c>
      <c r="N892" s="139">
        <v>8183.46</v>
      </c>
      <c r="O892" s="139"/>
      <c r="P892" s="37">
        <f t="shared" ref="P892:P901" si="277">Q892+Q892*R892+S892+T892+U892</f>
        <v>136.711</v>
      </c>
      <c r="Q892" s="99">
        <f>$Q$28</f>
        <v>0</v>
      </c>
      <c r="R892" s="163">
        <f>$R$28</f>
        <v>0.01</v>
      </c>
      <c r="S892" s="99">
        <f>$S$28</f>
        <v>70</v>
      </c>
      <c r="T892" s="99">
        <f>$T$28</f>
        <v>64.711</v>
      </c>
      <c r="U892" s="99">
        <f>$U$28</f>
        <v>2</v>
      </c>
      <c r="V892" s="37">
        <f t="shared" ref="V892:V901" si="278">P892*E892</f>
        <v>8183.52046</v>
      </c>
      <c r="W892" s="139"/>
      <c r="X892" s="139"/>
      <c r="Y892" s="139"/>
      <c r="Z892" s="139"/>
      <c r="AA892" s="139"/>
      <c r="AB892" s="139"/>
      <c r="AC892" s="139"/>
      <c r="AD892" s="139"/>
      <c r="AE892" s="139"/>
      <c r="AF892" s="140"/>
      <c r="AG892" s="140"/>
      <c r="AH892" s="140"/>
      <c r="AI892" s="140"/>
      <c r="AJ892" s="140"/>
      <c r="AK892" s="140"/>
      <c r="AL892" s="140"/>
      <c r="AM892" s="140"/>
      <c r="AN892" s="140"/>
      <c r="AO892" s="140"/>
      <c r="AP892" s="140"/>
      <c r="AQ892" s="140"/>
      <c r="AR892" s="140"/>
      <c r="AS892" s="140"/>
      <c r="AT892" s="140"/>
      <c r="AU892" s="140"/>
      <c r="AV892" s="140"/>
      <c r="AW892" s="140"/>
      <c r="AX892" s="140"/>
      <c r="AY892" s="140"/>
      <c r="AZ892" s="140"/>
      <c r="BA892" s="140"/>
      <c r="BB892" s="140"/>
      <c r="BC892" s="140"/>
      <c r="BD892" s="140"/>
      <c r="BE892" s="140"/>
    </row>
    <row r="893" s="119" customFormat="1" ht="72" customHeight="1" outlineLevel="2" spans="1:57">
      <c r="A893" s="145">
        <f t="shared" si="273"/>
        <v>2</v>
      </c>
      <c r="B893" s="146" t="s">
        <v>419</v>
      </c>
      <c r="C893" s="161" t="s">
        <v>420</v>
      </c>
      <c r="D893" s="148" t="s">
        <v>63</v>
      </c>
      <c r="E893" s="149">
        <v>9.96</v>
      </c>
      <c r="F893" s="149">
        <f>S893*$S$1</f>
        <v>95</v>
      </c>
      <c r="G893" s="149">
        <f>Q893*(1+R893)*$Q$1</f>
        <v>85</v>
      </c>
      <c r="H893" s="149">
        <f>(T893+U893)*$T$1</f>
        <v>93.497</v>
      </c>
      <c r="I893" s="150">
        <f t="shared" si="274"/>
        <v>27.3497</v>
      </c>
      <c r="J893" s="151">
        <f t="shared" si="275"/>
        <v>300.85</v>
      </c>
      <c r="K893" s="152">
        <f t="shared" si="276"/>
        <v>2996.47</v>
      </c>
      <c r="L893" s="153"/>
      <c r="M893" s="139">
        <v>1</v>
      </c>
      <c r="N893" s="139">
        <v>2724.06</v>
      </c>
      <c r="O893" s="139"/>
      <c r="P893" s="37">
        <f t="shared" si="277"/>
        <v>273.497</v>
      </c>
      <c r="Q893" s="71">
        <v>85</v>
      </c>
      <c r="R893" s="157">
        <v>0</v>
      </c>
      <c r="S893" s="71">
        <v>95</v>
      </c>
      <c r="T893" s="71">
        <v>91.497</v>
      </c>
      <c r="U893" s="71">
        <v>2</v>
      </c>
      <c r="V893" s="37">
        <f t="shared" si="278"/>
        <v>2724.03012</v>
      </c>
      <c r="W893" s="139"/>
      <c r="X893" s="139"/>
      <c r="Y893" s="139"/>
      <c r="Z893" s="139"/>
      <c r="AA893" s="139"/>
      <c r="AB893" s="139"/>
      <c r="AC893" s="139"/>
      <c r="AD893" s="139"/>
      <c r="AE893" s="139"/>
      <c r="AF893" s="140"/>
      <c r="AG893" s="140"/>
      <c r="AH893" s="140"/>
      <c r="AI893" s="140"/>
      <c r="AJ893" s="140"/>
      <c r="AK893" s="140"/>
      <c r="AL893" s="140"/>
      <c r="AM893" s="140"/>
      <c r="AN893" s="140"/>
      <c r="AO893" s="140"/>
      <c r="AP893" s="140"/>
      <c r="AQ893" s="140"/>
      <c r="AR893" s="140"/>
      <c r="AS893" s="140"/>
      <c r="AT893" s="140"/>
      <c r="AU893" s="140"/>
      <c r="AV893" s="140"/>
      <c r="AW893" s="140"/>
      <c r="AX893" s="140"/>
      <c r="AY893" s="140"/>
      <c r="AZ893" s="140"/>
      <c r="BA893" s="140"/>
      <c r="BB893" s="140"/>
      <c r="BC893" s="140"/>
      <c r="BD893" s="140"/>
      <c r="BE893" s="140"/>
    </row>
    <row r="894" s="119" customFormat="1" ht="72" customHeight="1" outlineLevel="2" spans="1:57">
      <c r="A894" s="162">
        <f t="shared" si="273"/>
        <v>3</v>
      </c>
      <c r="B894" s="14" t="s">
        <v>362</v>
      </c>
      <c r="C894" s="167" t="s">
        <v>363</v>
      </c>
      <c r="D894" s="142" t="s">
        <v>63</v>
      </c>
      <c r="E894" s="143">
        <v>10.27</v>
      </c>
      <c r="F894" s="143">
        <f>$F$746</f>
        <v>110</v>
      </c>
      <c r="G894" s="143">
        <f>$G$746</f>
        <v>454.5</v>
      </c>
      <c r="H894" s="143">
        <f>$H$746</f>
        <v>40.997</v>
      </c>
      <c r="I894" s="17">
        <f t="shared" si="274"/>
        <v>60.5497</v>
      </c>
      <c r="J894" s="18">
        <f t="shared" si="275"/>
        <v>666.05</v>
      </c>
      <c r="K894" s="19">
        <f t="shared" si="276"/>
        <v>6840.33</v>
      </c>
      <c r="L894" s="178"/>
      <c r="M894" s="139">
        <v>1</v>
      </c>
      <c r="N894" s="139">
        <v>6218.49</v>
      </c>
      <c r="O894" s="139"/>
      <c r="P894" s="37">
        <f t="shared" si="277"/>
        <v>605.497</v>
      </c>
      <c r="Q894" s="99">
        <f>$Q$746</f>
        <v>450</v>
      </c>
      <c r="R894" s="163">
        <f>$R$746</f>
        <v>0.01</v>
      </c>
      <c r="S894" s="99">
        <f>$S$746</f>
        <v>110</v>
      </c>
      <c r="T894" s="99">
        <f>$T$746</f>
        <v>38.997</v>
      </c>
      <c r="U894" s="99">
        <f>$U$746</f>
        <v>2</v>
      </c>
      <c r="V894" s="37">
        <f t="shared" si="278"/>
        <v>6218.45419</v>
      </c>
      <c r="W894" s="139"/>
      <c r="X894" s="139"/>
      <c r="Y894" s="139"/>
      <c r="Z894" s="139"/>
      <c r="AA894" s="139"/>
      <c r="AB894" s="139"/>
      <c r="AC894" s="139"/>
      <c r="AD894" s="139"/>
      <c r="AE894" s="139"/>
      <c r="AF894" s="140"/>
      <c r="AG894" s="140"/>
      <c r="AH894" s="140"/>
      <c r="AI894" s="140"/>
      <c r="AJ894" s="140"/>
      <c r="AK894" s="140"/>
      <c r="AL894" s="140"/>
      <c r="AM894" s="140"/>
      <c r="AN894" s="140"/>
      <c r="AO894" s="140"/>
      <c r="AP894" s="140"/>
      <c r="AQ894" s="140"/>
      <c r="AR894" s="140"/>
      <c r="AS894" s="140"/>
      <c r="AT894" s="140"/>
      <c r="AU894" s="140"/>
      <c r="AV894" s="140"/>
      <c r="AW894" s="140"/>
      <c r="AX894" s="140"/>
      <c r="AY894" s="140"/>
      <c r="AZ894" s="140"/>
      <c r="BA894" s="140"/>
      <c r="BB894" s="140"/>
      <c r="BC894" s="140"/>
      <c r="BD894" s="140"/>
      <c r="BE894" s="140"/>
    </row>
    <row r="895" s="119" customFormat="1" ht="72" customHeight="1" outlineLevel="2" spans="1:57">
      <c r="A895" s="145">
        <f t="shared" si="273"/>
        <v>4</v>
      </c>
      <c r="B895" s="146" t="s">
        <v>266</v>
      </c>
      <c r="C895" s="161" t="s">
        <v>271</v>
      </c>
      <c r="D895" s="148" t="s">
        <v>63</v>
      </c>
      <c r="E895" s="149">
        <v>8.61</v>
      </c>
      <c r="F895" s="149">
        <f>S895*$S$1</f>
        <v>75</v>
      </c>
      <c r="G895" s="149">
        <f>Q895*(1+R895)*$Q$1</f>
        <v>260</v>
      </c>
      <c r="H895" s="149">
        <f>(T895+U895)*$T$1</f>
        <v>28</v>
      </c>
      <c r="I895" s="150">
        <f t="shared" si="274"/>
        <v>36.3</v>
      </c>
      <c r="J895" s="151">
        <f t="shared" si="275"/>
        <v>399.3</v>
      </c>
      <c r="K895" s="152">
        <f t="shared" si="276"/>
        <v>3437.97</v>
      </c>
      <c r="L895" s="153"/>
      <c r="M895" s="139">
        <v>1</v>
      </c>
      <c r="N895" s="139">
        <v>3125.43</v>
      </c>
      <c r="O895" s="139"/>
      <c r="P895" s="37">
        <f t="shared" si="277"/>
        <v>363</v>
      </c>
      <c r="Q895" s="71">
        <v>260</v>
      </c>
      <c r="R895" s="157">
        <v>0</v>
      </c>
      <c r="S895" s="71">
        <v>75</v>
      </c>
      <c r="T895" s="71">
        <v>25</v>
      </c>
      <c r="U895" s="71">
        <v>3</v>
      </c>
      <c r="V895" s="37">
        <f t="shared" si="278"/>
        <v>3125.43</v>
      </c>
      <c r="W895" s="139"/>
      <c r="X895" s="139"/>
      <c r="Y895" s="139"/>
      <c r="Z895" s="139"/>
      <c r="AA895" s="139"/>
      <c r="AB895" s="139"/>
      <c r="AC895" s="139"/>
      <c r="AD895" s="139"/>
      <c r="AE895" s="139"/>
      <c r="AF895" s="140"/>
      <c r="AG895" s="140"/>
      <c r="AH895" s="140"/>
      <c r="AI895" s="140"/>
      <c r="AJ895" s="140"/>
      <c r="AK895" s="140"/>
      <c r="AL895" s="140"/>
      <c r="AM895" s="140"/>
      <c r="AN895" s="140"/>
      <c r="AO895" s="140"/>
      <c r="AP895" s="140"/>
      <c r="AQ895" s="140"/>
      <c r="AR895" s="140"/>
      <c r="AS895" s="140"/>
      <c r="AT895" s="140"/>
      <c r="AU895" s="140"/>
      <c r="AV895" s="140"/>
      <c r="AW895" s="140"/>
      <c r="AX895" s="140"/>
      <c r="AY895" s="140"/>
      <c r="AZ895" s="140"/>
      <c r="BA895" s="140"/>
      <c r="BB895" s="140"/>
      <c r="BC895" s="140"/>
      <c r="BD895" s="140"/>
      <c r="BE895" s="140"/>
    </row>
    <row r="896" s="119" customFormat="1" ht="72" customHeight="1" outlineLevel="2" spans="1:57">
      <c r="A896" s="162">
        <f t="shared" si="273"/>
        <v>5</v>
      </c>
      <c r="B896" s="14" t="s">
        <v>104</v>
      </c>
      <c r="C896" s="167" t="s">
        <v>105</v>
      </c>
      <c r="D896" s="142" t="s">
        <v>70</v>
      </c>
      <c r="E896" s="143">
        <v>25.1</v>
      </c>
      <c r="F896" s="143">
        <f>$F$29</f>
        <v>50</v>
      </c>
      <c r="G896" s="143">
        <f>$G$29</f>
        <v>0</v>
      </c>
      <c r="H896" s="143">
        <f>$H$29</f>
        <v>22.0941</v>
      </c>
      <c r="I896" s="17">
        <f t="shared" si="274"/>
        <v>7.20941</v>
      </c>
      <c r="J896" s="18">
        <f t="shared" si="275"/>
        <v>79.3</v>
      </c>
      <c r="K896" s="19">
        <f t="shared" si="276"/>
        <v>1990.43</v>
      </c>
      <c r="L896" s="178"/>
      <c r="M896" s="139">
        <v>1</v>
      </c>
      <c r="N896" s="139">
        <v>1809.46</v>
      </c>
      <c r="O896" s="139"/>
      <c r="P896" s="37">
        <f t="shared" si="277"/>
        <v>72.0941</v>
      </c>
      <c r="Q896" s="99">
        <f>$Q$29</f>
        <v>0</v>
      </c>
      <c r="R896" s="163">
        <f>$R$29</f>
        <v>0.01</v>
      </c>
      <c r="S896" s="99">
        <f>$S$29</f>
        <v>50</v>
      </c>
      <c r="T896" s="99">
        <f>$T$29</f>
        <v>22.0941</v>
      </c>
      <c r="U896" s="99">
        <f>$U$29</f>
        <v>0</v>
      </c>
      <c r="V896" s="37">
        <f t="shared" si="278"/>
        <v>1809.56191</v>
      </c>
      <c r="W896" s="139"/>
      <c r="X896" s="139"/>
      <c r="Y896" s="139"/>
      <c r="Z896" s="139"/>
      <c r="AA896" s="139"/>
      <c r="AB896" s="139"/>
      <c r="AC896" s="139"/>
      <c r="AD896" s="139"/>
      <c r="AE896" s="139"/>
      <c r="AF896" s="140"/>
      <c r="AG896" s="140"/>
      <c r="AH896" s="140"/>
      <c r="AI896" s="140"/>
      <c r="AJ896" s="140"/>
      <c r="AK896" s="140"/>
      <c r="AL896" s="140"/>
      <c r="AM896" s="140"/>
      <c r="AN896" s="140"/>
      <c r="AO896" s="140"/>
      <c r="AP896" s="140"/>
      <c r="AQ896" s="140"/>
      <c r="AR896" s="140"/>
      <c r="AS896" s="140"/>
      <c r="AT896" s="140"/>
      <c r="AU896" s="140"/>
      <c r="AV896" s="140"/>
      <c r="AW896" s="140"/>
      <c r="AX896" s="140"/>
      <c r="AY896" s="140"/>
      <c r="AZ896" s="140"/>
      <c r="BA896" s="140"/>
      <c r="BB896" s="140"/>
      <c r="BC896" s="140"/>
      <c r="BD896" s="140"/>
      <c r="BE896" s="140"/>
    </row>
    <row r="897" s="119" customFormat="1" ht="72" customHeight="1" outlineLevel="2" spans="1:57">
      <c r="A897" s="162">
        <f t="shared" si="273"/>
        <v>6</v>
      </c>
      <c r="B897" s="14" t="s">
        <v>106</v>
      </c>
      <c r="C897" s="15" t="s">
        <v>107</v>
      </c>
      <c r="D897" s="142" t="s">
        <v>70</v>
      </c>
      <c r="E897" s="143">
        <v>25.1</v>
      </c>
      <c r="F897" s="143">
        <f>$F$30</f>
        <v>18</v>
      </c>
      <c r="G897" s="143">
        <f>$G$30</f>
        <v>163.255</v>
      </c>
      <c r="H897" s="143">
        <f>$H$30</f>
        <v>3.8</v>
      </c>
      <c r="I897" s="17">
        <f t="shared" si="274"/>
        <v>18.5055</v>
      </c>
      <c r="J897" s="18">
        <f t="shared" si="275"/>
        <v>203.56</v>
      </c>
      <c r="K897" s="19">
        <f t="shared" si="276"/>
        <v>5109.36</v>
      </c>
      <c r="L897" s="178"/>
      <c r="M897" s="139">
        <v>1</v>
      </c>
      <c r="N897" s="139">
        <v>4645.01</v>
      </c>
      <c r="O897" s="139"/>
      <c r="P897" s="37">
        <f t="shared" si="277"/>
        <v>185.055</v>
      </c>
      <c r="Q897" s="99">
        <f>$Q$30</f>
        <v>158.5</v>
      </c>
      <c r="R897" s="163">
        <f>$R$30</f>
        <v>0.03</v>
      </c>
      <c r="S897" s="99">
        <f>$S$30</f>
        <v>18</v>
      </c>
      <c r="T897" s="99">
        <f>$T$30</f>
        <v>3.5</v>
      </c>
      <c r="U897" s="99">
        <f>$U$30</f>
        <v>0.3</v>
      </c>
      <c r="V897" s="37">
        <f t="shared" si="278"/>
        <v>4644.8805</v>
      </c>
      <c r="W897" s="139"/>
      <c r="X897" s="139"/>
      <c r="Y897" s="139"/>
      <c r="Z897" s="139"/>
      <c r="AA897" s="139"/>
      <c r="AB897" s="139"/>
      <c r="AC897" s="139"/>
      <c r="AD897" s="139"/>
      <c r="AE897" s="139"/>
      <c r="AF897" s="140"/>
      <c r="AG897" s="140"/>
      <c r="AH897" s="140"/>
      <c r="AI897" s="140"/>
      <c r="AJ897" s="140"/>
      <c r="AK897" s="140"/>
      <c r="AL897" s="140"/>
      <c r="AM897" s="140"/>
      <c r="AN897" s="140"/>
      <c r="AO897" s="140"/>
      <c r="AP897" s="140"/>
      <c r="AQ897" s="140"/>
      <c r="AR897" s="140"/>
      <c r="AS897" s="140"/>
      <c r="AT897" s="140"/>
      <c r="AU897" s="140"/>
      <c r="AV897" s="140"/>
      <c r="AW897" s="140"/>
      <c r="AX897" s="140"/>
      <c r="AY897" s="140"/>
      <c r="AZ897" s="140"/>
      <c r="BA897" s="140"/>
      <c r="BB897" s="140"/>
      <c r="BC897" s="140"/>
      <c r="BD897" s="140"/>
      <c r="BE897" s="140"/>
    </row>
    <row r="898" s="119" customFormat="1" ht="72" customHeight="1" outlineLevel="2" spans="1:57">
      <c r="A898" s="162">
        <f t="shared" si="273"/>
        <v>7</v>
      </c>
      <c r="B898" s="14" t="s">
        <v>268</v>
      </c>
      <c r="C898" s="15" t="s">
        <v>269</v>
      </c>
      <c r="D898" s="142" t="s">
        <v>70</v>
      </c>
      <c r="E898" s="143">
        <v>7.67</v>
      </c>
      <c r="F898" s="143">
        <f>$F$472</f>
        <v>55</v>
      </c>
      <c r="G898" s="143">
        <f>$G$472</f>
        <v>0</v>
      </c>
      <c r="H898" s="143">
        <f>$H$472</f>
        <v>29.6688</v>
      </c>
      <c r="I898" s="17">
        <f t="shared" si="274"/>
        <v>8.46688</v>
      </c>
      <c r="J898" s="18">
        <f t="shared" si="275"/>
        <v>93.14</v>
      </c>
      <c r="K898" s="19">
        <f t="shared" si="276"/>
        <v>714.38</v>
      </c>
      <c r="L898" s="178"/>
      <c r="M898" s="139">
        <v>1</v>
      </c>
      <c r="N898" s="139">
        <v>649.42</v>
      </c>
      <c r="O898" s="139"/>
      <c r="P898" s="37">
        <f t="shared" si="277"/>
        <v>84.6688</v>
      </c>
      <c r="Q898" s="99">
        <f>$Q$472</f>
        <v>0</v>
      </c>
      <c r="R898" s="163">
        <f>$R$472</f>
        <v>0.01</v>
      </c>
      <c r="S898" s="99">
        <f>$S$472</f>
        <v>55</v>
      </c>
      <c r="T898" s="99">
        <f>$T$472</f>
        <v>29.6688</v>
      </c>
      <c r="U898" s="99">
        <f>$U$472</f>
        <v>0</v>
      </c>
      <c r="V898" s="37">
        <f t="shared" si="278"/>
        <v>649.409696</v>
      </c>
      <c r="W898" s="139"/>
      <c r="X898" s="139"/>
      <c r="Y898" s="139"/>
      <c r="Z898" s="139"/>
      <c r="AA898" s="139"/>
      <c r="AB898" s="139"/>
      <c r="AC898" s="139"/>
      <c r="AD898" s="139"/>
      <c r="AE898" s="139"/>
      <c r="AF898" s="140"/>
      <c r="AG898" s="140"/>
      <c r="AH898" s="140"/>
      <c r="AI898" s="140"/>
      <c r="AJ898" s="140"/>
      <c r="AK898" s="140"/>
      <c r="AL898" s="140"/>
      <c r="AM898" s="140"/>
      <c r="AN898" s="140"/>
      <c r="AO898" s="140"/>
      <c r="AP898" s="140"/>
      <c r="AQ898" s="140"/>
      <c r="AR898" s="140"/>
      <c r="AS898" s="140"/>
      <c r="AT898" s="140"/>
      <c r="AU898" s="140"/>
      <c r="AV898" s="140"/>
      <c r="AW898" s="140"/>
      <c r="AX898" s="140"/>
      <c r="AY898" s="140"/>
      <c r="AZ898" s="140"/>
      <c r="BA898" s="140"/>
      <c r="BB898" s="140"/>
      <c r="BC898" s="140"/>
      <c r="BD898" s="140"/>
      <c r="BE898" s="140"/>
    </row>
    <row r="899" s="119" customFormat="1" ht="72" customHeight="1" outlineLevel="2" spans="1:57">
      <c r="A899" s="162">
        <f t="shared" si="273"/>
        <v>8</v>
      </c>
      <c r="B899" s="14" t="s">
        <v>108</v>
      </c>
      <c r="C899" s="15" t="s">
        <v>109</v>
      </c>
      <c r="D899" s="142" t="s">
        <v>70</v>
      </c>
      <c r="E899" s="143">
        <f>1.2*2*3</f>
        <v>7.2</v>
      </c>
      <c r="F899" s="143">
        <f>$F$31</f>
        <v>30</v>
      </c>
      <c r="G899" s="143">
        <f>$G$31</f>
        <v>65.6625</v>
      </c>
      <c r="H899" s="143">
        <f>$H$31</f>
        <v>2.7</v>
      </c>
      <c r="I899" s="17">
        <f t="shared" si="274"/>
        <v>9.83625</v>
      </c>
      <c r="J899" s="18">
        <f t="shared" si="275"/>
        <v>108.2</v>
      </c>
      <c r="K899" s="19">
        <f t="shared" si="276"/>
        <v>779.04</v>
      </c>
      <c r="L899" s="178"/>
      <c r="M899" s="139">
        <v>1</v>
      </c>
      <c r="N899" s="139">
        <v>708.19</v>
      </c>
      <c r="O899" s="139"/>
      <c r="P899" s="37">
        <f t="shared" si="277"/>
        <v>98.3625</v>
      </c>
      <c r="Q899" s="99">
        <f>$Q$31</f>
        <v>63.75</v>
      </c>
      <c r="R899" s="163">
        <f>$R$31</f>
        <v>0.03</v>
      </c>
      <c r="S899" s="99">
        <f>$S$31</f>
        <v>30</v>
      </c>
      <c r="T899" s="99">
        <f>$T$31</f>
        <v>2.5</v>
      </c>
      <c r="U899" s="99">
        <f>$U$31</f>
        <v>0.2</v>
      </c>
      <c r="V899" s="37">
        <f t="shared" si="278"/>
        <v>708.21</v>
      </c>
      <c r="W899" s="139"/>
      <c r="X899" s="139"/>
      <c r="Y899" s="139"/>
      <c r="Z899" s="139"/>
      <c r="AA899" s="139"/>
      <c r="AB899" s="139"/>
      <c r="AC899" s="139"/>
      <c r="AD899" s="139"/>
      <c r="AE899" s="139"/>
      <c r="AF899" s="140"/>
      <c r="AG899" s="140"/>
      <c r="AH899" s="140"/>
      <c r="AI899" s="140"/>
      <c r="AJ899" s="140"/>
      <c r="AK899" s="140"/>
      <c r="AL899" s="140"/>
      <c r="AM899" s="140"/>
      <c r="AN899" s="140"/>
      <c r="AO899" s="140"/>
      <c r="AP899" s="140"/>
      <c r="AQ899" s="140"/>
      <c r="AR899" s="140"/>
      <c r="AS899" s="140"/>
      <c r="AT899" s="140"/>
      <c r="AU899" s="140"/>
      <c r="AV899" s="140"/>
      <c r="AW899" s="140"/>
      <c r="AX899" s="140"/>
      <c r="AY899" s="140"/>
      <c r="AZ899" s="140"/>
      <c r="BA899" s="140"/>
      <c r="BB899" s="140"/>
      <c r="BC899" s="140"/>
      <c r="BD899" s="140"/>
      <c r="BE899" s="140"/>
    </row>
    <row r="900" s="119" customFormat="1" ht="72" customHeight="1" outlineLevel="2" spans="1:57">
      <c r="A900" s="162">
        <f t="shared" si="273"/>
        <v>9</v>
      </c>
      <c r="B900" s="14" t="s">
        <v>110</v>
      </c>
      <c r="C900" s="15" t="s">
        <v>111</v>
      </c>
      <c r="D900" s="142" t="s">
        <v>63</v>
      </c>
      <c r="E900" s="143">
        <f>78.43+25.1*0.3+7.67*0.4</f>
        <v>89.028</v>
      </c>
      <c r="F900" s="143">
        <f>$F$32</f>
        <v>45</v>
      </c>
      <c r="G900" s="143">
        <f>$G$32</f>
        <v>85.5</v>
      </c>
      <c r="H900" s="143">
        <f>$H$32</f>
        <v>7.3</v>
      </c>
      <c r="I900" s="17">
        <f t="shared" si="274"/>
        <v>13.78</v>
      </c>
      <c r="J900" s="18">
        <f t="shared" si="275"/>
        <v>151.58</v>
      </c>
      <c r="K900" s="19">
        <f t="shared" si="276"/>
        <v>13494.86</v>
      </c>
      <c r="L900" s="178"/>
      <c r="M900" s="139">
        <v>1</v>
      </c>
      <c r="N900" s="139">
        <v>12268.06</v>
      </c>
      <c r="O900" s="139"/>
      <c r="P900" s="37">
        <f t="shared" si="277"/>
        <v>137.8</v>
      </c>
      <c r="Q900" s="99">
        <f>$Q$32</f>
        <v>85.5</v>
      </c>
      <c r="R900" s="163">
        <f>$R$32</f>
        <v>0</v>
      </c>
      <c r="S900" s="99">
        <f>$S$32</f>
        <v>45</v>
      </c>
      <c r="T900" s="99">
        <f>$T$32</f>
        <v>6.5</v>
      </c>
      <c r="U900" s="99">
        <f>$U$32</f>
        <v>0.8</v>
      </c>
      <c r="V900" s="37">
        <f t="shared" si="278"/>
        <v>12268.0584</v>
      </c>
      <c r="W900" s="139"/>
      <c r="X900" s="139"/>
      <c r="Y900" s="139"/>
      <c r="Z900" s="139"/>
      <c r="AA900" s="139"/>
      <c r="AB900" s="139"/>
      <c r="AC900" s="139"/>
      <c r="AD900" s="139"/>
      <c r="AE900" s="139"/>
      <c r="AF900" s="140"/>
      <c r="AG900" s="140"/>
      <c r="AH900" s="140"/>
      <c r="AI900" s="140"/>
      <c r="AJ900" s="140"/>
      <c r="AK900" s="140"/>
      <c r="AL900" s="140"/>
      <c r="AM900" s="140"/>
      <c r="AN900" s="140"/>
      <c r="AO900" s="140"/>
      <c r="AP900" s="140"/>
      <c r="AQ900" s="140"/>
      <c r="AR900" s="140"/>
      <c r="AS900" s="140"/>
      <c r="AT900" s="140"/>
      <c r="AU900" s="140"/>
      <c r="AV900" s="140"/>
      <c r="AW900" s="140"/>
      <c r="AX900" s="140"/>
      <c r="AY900" s="140"/>
      <c r="AZ900" s="140"/>
      <c r="BA900" s="140"/>
      <c r="BB900" s="140"/>
      <c r="BC900" s="140"/>
      <c r="BD900" s="140"/>
      <c r="BE900" s="140"/>
    </row>
    <row r="901" s="119" customFormat="1" ht="72" customHeight="1" outlineLevel="2" spans="1:57">
      <c r="A901" s="162">
        <f t="shared" si="273"/>
        <v>10</v>
      </c>
      <c r="B901" s="14" t="s">
        <v>270</v>
      </c>
      <c r="C901" s="15" t="s">
        <v>271</v>
      </c>
      <c r="D901" s="142" t="s">
        <v>63</v>
      </c>
      <c r="E901" s="143">
        <v>8.61</v>
      </c>
      <c r="F901" s="143">
        <f>$F$475</f>
        <v>12</v>
      </c>
      <c r="G901" s="143">
        <f>$G$475</f>
        <v>5.5</v>
      </c>
      <c r="H901" s="143">
        <f>$H$475</f>
        <v>4.2682</v>
      </c>
      <c r="I901" s="17">
        <f t="shared" si="274"/>
        <v>2.17682</v>
      </c>
      <c r="J901" s="18">
        <f t="shared" si="275"/>
        <v>23.95</v>
      </c>
      <c r="K901" s="19">
        <f t="shared" si="276"/>
        <v>206.21</v>
      </c>
      <c r="L901" s="178"/>
      <c r="M901" s="139">
        <v>1</v>
      </c>
      <c r="N901" s="139">
        <v>187.44</v>
      </c>
      <c r="O901" s="139"/>
      <c r="P901" s="37">
        <f t="shared" si="277"/>
        <v>21.7682</v>
      </c>
      <c r="Q901" s="99">
        <f>$Q$475</f>
        <v>5.5</v>
      </c>
      <c r="R901" s="163">
        <f>$R$475</f>
        <v>0</v>
      </c>
      <c r="S901" s="99">
        <f>$S$475</f>
        <v>12</v>
      </c>
      <c r="T901" s="99">
        <f>$T$475</f>
        <v>3.9682</v>
      </c>
      <c r="U901" s="99">
        <f>$U$475</f>
        <v>0.3</v>
      </c>
      <c r="V901" s="37">
        <f t="shared" si="278"/>
        <v>187.424202</v>
      </c>
      <c r="W901" s="139"/>
      <c r="X901" s="139"/>
      <c r="Y901" s="139"/>
      <c r="Z901" s="139"/>
      <c r="AA901" s="139"/>
      <c r="AB901" s="139"/>
      <c r="AC901" s="139"/>
      <c r="AD901" s="139"/>
      <c r="AE901" s="139"/>
      <c r="AF901" s="140"/>
      <c r="AG901" s="140"/>
      <c r="AH901" s="140"/>
      <c r="AI901" s="140"/>
      <c r="AJ901" s="140"/>
      <c r="AK901" s="140"/>
      <c r="AL901" s="140"/>
      <c r="AM901" s="140"/>
      <c r="AN901" s="140"/>
      <c r="AO901" s="140"/>
      <c r="AP901" s="140"/>
      <c r="AQ901" s="140"/>
      <c r="AR901" s="140"/>
      <c r="AS901" s="140"/>
      <c r="AT901" s="140"/>
      <c r="AU901" s="140"/>
      <c r="AV901" s="140"/>
      <c r="AW901" s="140"/>
      <c r="AX901" s="140"/>
      <c r="AY901" s="140"/>
      <c r="AZ901" s="140"/>
      <c r="BA901" s="140"/>
      <c r="BB901" s="140"/>
      <c r="BC901" s="140"/>
      <c r="BD901" s="140"/>
      <c r="BE901" s="140"/>
    </row>
    <row r="902" s="119" customFormat="1" ht="24" customHeight="1" outlineLevel="1" spans="1:57">
      <c r="A902" s="141"/>
      <c r="B902" s="14" t="s">
        <v>112</v>
      </c>
      <c r="C902" s="15"/>
      <c r="D902" s="142"/>
      <c r="E902" s="143"/>
      <c r="F902" s="143"/>
      <c r="G902" s="143"/>
      <c r="H902" s="143"/>
      <c r="I902" s="143"/>
      <c r="J902" s="143"/>
      <c r="K902" s="144"/>
      <c r="L902" s="178"/>
      <c r="M902" s="139"/>
      <c r="N902" s="139"/>
      <c r="O902" s="139"/>
      <c r="P902" s="137"/>
      <c r="Q902" s="137"/>
      <c r="R902" s="138"/>
      <c r="S902" s="137"/>
      <c r="T902" s="137"/>
      <c r="U902" s="137"/>
      <c r="V902" s="137"/>
      <c r="W902" s="139"/>
      <c r="X902" s="139"/>
      <c r="Y902" s="139"/>
      <c r="Z902" s="139"/>
      <c r="AA902" s="139"/>
      <c r="AB902" s="139"/>
      <c r="AC902" s="139"/>
      <c r="AD902" s="139"/>
      <c r="AE902" s="139"/>
      <c r="AF902" s="140"/>
      <c r="AG902" s="140"/>
      <c r="AH902" s="140"/>
      <c r="AI902" s="140"/>
      <c r="AJ902" s="140"/>
      <c r="AK902" s="140"/>
      <c r="AL902" s="140"/>
      <c r="AM902" s="140"/>
      <c r="AN902" s="140"/>
      <c r="AO902" s="140"/>
      <c r="AP902" s="140"/>
      <c r="AQ902" s="140"/>
      <c r="AR902" s="140"/>
      <c r="AS902" s="140"/>
      <c r="AT902" s="140"/>
      <c r="AU902" s="140"/>
      <c r="AV902" s="140"/>
      <c r="AW902" s="140"/>
      <c r="AX902" s="140"/>
      <c r="AY902" s="140"/>
      <c r="AZ902" s="140"/>
      <c r="BA902" s="140"/>
      <c r="BB902" s="140"/>
      <c r="BC902" s="140"/>
      <c r="BD902" s="140"/>
      <c r="BE902" s="140"/>
    </row>
    <row r="903" s="119" customFormat="1" ht="84" customHeight="1" outlineLevel="2" spans="1:57">
      <c r="A903" s="145">
        <f>1+N(A902)</f>
        <v>1</v>
      </c>
      <c r="B903" s="146" t="s">
        <v>322</v>
      </c>
      <c r="C903" s="147" t="s">
        <v>421</v>
      </c>
      <c r="D903" s="148" t="s">
        <v>156</v>
      </c>
      <c r="E903" s="149">
        <v>1</v>
      </c>
      <c r="F903" s="149">
        <f>S903*$S$1</f>
        <v>3267</v>
      </c>
      <c r="G903" s="149">
        <f>Q903*(1+R903)*$Q$1</f>
        <v>11932.14</v>
      </c>
      <c r="H903" s="149">
        <f>(T903+U903)*$T$1</f>
        <v>1833.5</v>
      </c>
      <c r="I903" s="150">
        <f>(F903+G903+H903)*$I$3</f>
        <v>1703.264</v>
      </c>
      <c r="J903" s="151">
        <f>ROUND(SUM(F903:I903),2)</f>
        <v>18735.9</v>
      </c>
      <c r="K903" s="152">
        <f>ROUND(J903*E903,2)</f>
        <v>18735.9</v>
      </c>
      <c r="L903" s="178"/>
      <c r="M903" s="139">
        <v>1</v>
      </c>
      <c r="N903" s="139">
        <v>17032.64</v>
      </c>
      <c r="O903" s="139"/>
      <c r="P903" s="37">
        <f>Q903+Q903*R903+S903+T903+U903</f>
        <v>17032.64</v>
      </c>
      <c r="Q903" s="71">
        <v>11814</v>
      </c>
      <c r="R903" s="157">
        <v>0.01</v>
      </c>
      <c r="S903" s="71">
        <v>3267</v>
      </c>
      <c r="T903" s="71">
        <v>1633.5</v>
      </c>
      <c r="U903" s="71">
        <v>200</v>
      </c>
      <c r="V903" s="37">
        <f>P903*E903</f>
        <v>17032.64</v>
      </c>
      <c r="W903" s="139"/>
      <c r="X903" s="139"/>
      <c r="Y903" s="139"/>
      <c r="Z903" s="139"/>
      <c r="AA903" s="139"/>
      <c r="AB903" s="139"/>
      <c r="AC903" s="139"/>
      <c r="AD903" s="139"/>
      <c r="AE903" s="139"/>
      <c r="AF903" s="140"/>
      <c r="AG903" s="140"/>
      <c r="AH903" s="140"/>
      <c r="AI903" s="140"/>
      <c r="AJ903" s="140"/>
      <c r="AK903" s="140"/>
      <c r="AL903" s="140"/>
      <c r="AM903" s="140"/>
      <c r="AN903" s="140"/>
      <c r="AO903" s="140"/>
      <c r="AP903" s="140"/>
      <c r="AQ903" s="140"/>
      <c r="AR903" s="140"/>
      <c r="AS903" s="140"/>
      <c r="AT903" s="140"/>
      <c r="AU903" s="140"/>
      <c r="AV903" s="140"/>
      <c r="AW903" s="140"/>
      <c r="AX903" s="140"/>
      <c r="AY903" s="140"/>
      <c r="AZ903" s="140"/>
      <c r="BA903" s="140"/>
      <c r="BB903" s="140"/>
      <c r="BC903" s="140"/>
      <c r="BD903" s="140"/>
      <c r="BE903" s="140"/>
    </row>
    <row r="904" s="119" customFormat="1" ht="72" customHeight="1" outlineLevel="2" spans="1:57">
      <c r="A904" s="145">
        <f>1+N(A903)</f>
        <v>2</v>
      </c>
      <c r="B904" s="146" t="s">
        <v>422</v>
      </c>
      <c r="C904" s="147" t="s">
        <v>423</v>
      </c>
      <c r="D904" s="148" t="s">
        <v>70</v>
      </c>
      <c r="E904" s="149">
        <v>3.4</v>
      </c>
      <c r="F904" s="149">
        <f>S904*$S$1</f>
        <v>85</v>
      </c>
      <c r="G904" s="149">
        <f>Q904*(1+R904)*$Q$1</f>
        <v>1550</v>
      </c>
      <c r="H904" s="149">
        <f>(T904+U904)*$T$1</f>
        <v>16.5</v>
      </c>
      <c r="I904" s="150">
        <f>(F904+G904+H904)*$I$3</f>
        <v>165.15</v>
      </c>
      <c r="J904" s="151">
        <f>ROUND(SUM(F904:I904),2)</f>
        <v>1816.65</v>
      </c>
      <c r="K904" s="152">
        <f>ROUND(J904*E904,2)</f>
        <v>6176.61</v>
      </c>
      <c r="L904" s="178"/>
      <c r="M904" s="139">
        <v>1</v>
      </c>
      <c r="N904" s="139">
        <v>5615.1</v>
      </c>
      <c r="O904" s="139"/>
      <c r="P904" s="37">
        <f>Q904+Q904*R904+S904+T904+U904</f>
        <v>1651.5</v>
      </c>
      <c r="Q904" s="71">
        <v>1550</v>
      </c>
      <c r="R904" s="157">
        <v>0</v>
      </c>
      <c r="S904" s="71">
        <v>85</v>
      </c>
      <c r="T904" s="71">
        <v>15</v>
      </c>
      <c r="U904" s="71">
        <v>1.5</v>
      </c>
      <c r="V904" s="37">
        <f>P904*E904</f>
        <v>5615.1</v>
      </c>
      <c r="W904" s="139"/>
      <c r="X904" s="139"/>
      <c r="Y904" s="139"/>
      <c r="Z904" s="139"/>
      <c r="AA904" s="139"/>
      <c r="AB904" s="139"/>
      <c r="AC904" s="139"/>
      <c r="AD904" s="139"/>
      <c r="AE904" s="139"/>
      <c r="AF904" s="140"/>
      <c r="AG904" s="140"/>
      <c r="AH904" s="140"/>
      <c r="AI904" s="140"/>
      <c r="AJ904" s="140"/>
      <c r="AK904" s="140"/>
      <c r="AL904" s="140"/>
      <c r="AM904" s="140"/>
      <c r="AN904" s="140"/>
      <c r="AO904" s="140"/>
      <c r="AP904" s="140"/>
      <c r="AQ904" s="140"/>
      <c r="AR904" s="140"/>
      <c r="AS904" s="140"/>
      <c r="AT904" s="140"/>
      <c r="AU904" s="140"/>
      <c r="AV904" s="140"/>
      <c r="AW904" s="140"/>
      <c r="AX904" s="140"/>
      <c r="AY904" s="140"/>
      <c r="AZ904" s="140"/>
      <c r="BA904" s="140"/>
      <c r="BB904" s="140"/>
      <c r="BC904" s="140"/>
      <c r="BD904" s="140"/>
      <c r="BE904" s="140"/>
    </row>
    <row r="905" s="119" customFormat="1" ht="24" customHeight="1" outlineLevel="2" spans="1:57">
      <c r="A905" s="145">
        <f>1+N(A904)</f>
        <v>3</v>
      </c>
      <c r="B905" s="146" t="s">
        <v>424</v>
      </c>
      <c r="C905" s="147" t="s">
        <v>425</v>
      </c>
      <c r="D905" s="148" t="s">
        <v>70</v>
      </c>
      <c r="E905" s="149">
        <f>3+2.6+2.2+1.8</f>
        <v>9.6</v>
      </c>
      <c r="F905" s="149">
        <f>S905*$S$1</f>
        <v>35</v>
      </c>
      <c r="G905" s="149">
        <f>Q905*(1+R905)*$Q$1</f>
        <v>2650</v>
      </c>
      <c r="H905" s="149">
        <f>(T905+U905)*$T$1</f>
        <v>6.3</v>
      </c>
      <c r="I905" s="150">
        <f>(F905+G905+H905)*$I$3</f>
        <v>269.13</v>
      </c>
      <c r="J905" s="151">
        <f>ROUND(SUM(F905:I905),2)</f>
        <v>2960.43</v>
      </c>
      <c r="K905" s="152">
        <f>ROUND(J905*E905,2)</f>
        <v>28420.13</v>
      </c>
      <c r="L905" s="178"/>
      <c r="M905" s="139">
        <v>1</v>
      </c>
      <c r="N905" s="139">
        <v>25836.48</v>
      </c>
      <c r="O905" s="139"/>
      <c r="P905" s="37">
        <f>Q905+Q905*R905+S905+T905+U905</f>
        <v>2691.3</v>
      </c>
      <c r="Q905" s="71">
        <v>2650</v>
      </c>
      <c r="R905" s="157">
        <v>0</v>
      </c>
      <c r="S905" s="71">
        <v>35</v>
      </c>
      <c r="T905" s="71">
        <v>6</v>
      </c>
      <c r="U905" s="71">
        <v>0.3</v>
      </c>
      <c r="V905" s="37">
        <f>P905*E905</f>
        <v>25836.48</v>
      </c>
      <c r="W905" s="139"/>
      <c r="X905" s="139"/>
      <c r="Y905" s="139"/>
      <c r="Z905" s="139"/>
      <c r="AA905" s="139"/>
      <c r="AB905" s="139"/>
      <c r="AC905" s="139"/>
      <c r="AD905" s="139"/>
      <c r="AE905" s="139"/>
      <c r="AF905" s="140"/>
      <c r="AG905" s="140"/>
      <c r="AH905" s="140"/>
      <c r="AI905" s="140"/>
      <c r="AJ905" s="140"/>
      <c r="AK905" s="140"/>
      <c r="AL905" s="140"/>
      <c r="AM905" s="140"/>
      <c r="AN905" s="140"/>
      <c r="AO905" s="140"/>
      <c r="AP905" s="140"/>
      <c r="AQ905" s="140"/>
      <c r="AR905" s="140"/>
      <c r="AS905" s="140"/>
      <c r="AT905" s="140"/>
      <c r="AU905" s="140"/>
      <c r="AV905" s="140"/>
      <c r="AW905" s="140"/>
      <c r="AX905" s="140"/>
      <c r="AY905" s="140"/>
      <c r="AZ905" s="140"/>
      <c r="BA905" s="140"/>
      <c r="BB905" s="140"/>
      <c r="BC905" s="140"/>
      <c r="BD905" s="140"/>
      <c r="BE905" s="140"/>
    </row>
    <row r="906" s="119" customFormat="1" ht="24" customHeight="1" outlineLevel="1" spans="1:57">
      <c r="A906" s="132" t="s">
        <v>426</v>
      </c>
      <c r="B906" s="8" t="s">
        <v>160</v>
      </c>
      <c r="C906" s="8"/>
      <c r="D906" s="133"/>
      <c r="E906" s="134"/>
      <c r="F906" s="134"/>
      <c r="G906" s="134"/>
      <c r="H906" s="134"/>
      <c r="I906" s="134"/>
      <c r="J906" s="134"/>
      <c r="K906" s="11"/>
      <c r="L906" s="178"/>
      <c r="M906" s="139"/>
      <c r="N906" s="139"/>
      <c r="O906" s="139" t="str">
        <f>_xlfn.DISPIMG("ID_08529AA2B4754D7788EF3058DD12C0B7",1)</f>
        <v>=DISPIMG("ID_08529AA2B4754D7788EF3058DD12C0B7",1)</v>
      </c>
      <c r="P906" s="137"/>
      <c r="Q906" s="137"/>
      <c r="R906" s="138"/>
      <c r="S906" s="137"/>
      <c r="T906" s="137"/>
      <c r="U906" s="137"/>
      <c r="V906" s="137"/>
      <c r="W906" s="139"/>
      <c r="X906" s="139"/>
      <c r="Y906" s="139"/>
      <c r="Z906" s="139"/>
      <c r="AA906" s="139"/>
      <c r="AB906" s="139"/>
      <c r="AC906" s="139"/>
      <c r="AD906" s="139"/>
      <c r="AE906" s="139"/>
      <c r="AF906" s="140"/>
      <c r="AG906" s="140"/>
      <c r="AH906" s="140"/>
      <c r="AI906" s="140"/>
      <c r="AJ906" s="140"/>
      <c r="AK906" s="140"/>
      <c r="AL906" s="140"/>
      <c r="AM906" s="140"/>
      <c r="AN906" s="140"/>
      <c r="AO906" s="140"/>
      <c r="AP906" s="140"/>
      <c r="AQ906" s="140"/>
      <c r="AR906" s="140"/>
      <c r="AS906" s="140"/>
      <c r="AT906" s="140"/>
      <c r="AU906" s="140"/>
      <c r="AV906" s="140"/>
      <c r="AW906" s="140"/>
      <c r="AX906" s="140"/>
      <c r="AY906" s="140"/>
      <c r="AZ906" s="140"/>
      <c r="BA906" s="140"/>
      <c r="BB906" s="140"/>
      <c r="BC906" s="140"/>
      <c r="BD906" s="140"/>
      <c r="BE906" s="140"/>
    </row>
    <row r="907" s="119" customFormat="1" ht="24" customHeight="1" outlineLevel="1" spans="1:57">
      <c r="A907" s="141"/>
      <c r="B907" s="165" t="s">
        <v>161</v>
      </c>
      <c r="C907" s="15"/>
      <c r="D907" s="142"/>
      <c r="E907" s="143"/>
      <c r="F907" s="143"/>
      <c r="G907" s="143"/>
      <c r="H907" s="143"/>
      <c r="I907" s="143"/>
      <c r="J907" s="143"/>
      <c r="K907" s="144"/>
      <c r="L907" s="178"/>
      <c r="M907" s="139"/>
      <c r="N907" s="139"/>
      <c r="O907" s="139"/>
      <c r="P907" s="137"/>
      <c r="Q907" s="137"/>
      <c r="R907" s="138"/>
      <c r="S907" s="137"/>
      <c r="T907" s="137"/>
      <c r="U907" s="137"/>
      <c r="V907" s="137"/>
      <c r="W907" s="139"/>
      <c r="X907" s="139"/>
      <c r="Y907" s="139"/>
      <c r="Z907" s="139"/>
      <c r="AA907" s="139"/>
      <c r="AB907" s="139"/>
      <c r="AC907" s="139"/>
      <c r="AD907" s="139"/>
      <c r="AE907" s="139"/>
      <c r="AF907" s="140"/>
      <c r="AG907" s="140"/>
      <c r="AH907" s="140"/>
      <c r="AI907" s="140"/>
      <c r="AJ907" s="140"/>
      <c r="AK907" s="140"/>
      <c r="AL907" s="140"/>
      <c r="AM907" s="140"/>
      <c r="AN907" s="140"/>
      <c r="AO907" s="140"/>
      <c r="AP907" s="140"/>
      <c r="AQ907" s="140"/>
      <c r="AR907" s="140"/>
      <c r="AS907" s="140"/>
      <c r="AT907" s="140"/>
      <c r="AU907" s="140"/>
      <c r="AV907" s="140"/>
      <c r="AW907" s="140"/>
      <c r="AX907" s="140"/>
      <c r="AY907" s="140"/>
      <c r="AZ907" s="140"/>
      <c r="BA907" s="140"/>
      <c r="BB907" s="140"/>
      <c r="BC907" s="140"/>
      <c r="BD907" s="140"/>
      <c r="BE907" s="140"/>
    </row>
    <row r="908" s="119" customFormat="1" ht="60" customHeight="1" outlineLevel="2" spans="1:57">
      <c r="A908" s="162">
        <f>1+N(A907)</f>
        <v>1</v>
      </c>
      <c r="B908" s="165" t="s">
        <v>212</v>
      </c>
      <c r="C908" s="166" t="s">
        <v>213</v>
      </c>
      <c r="D908" s="142" t="s">
        <v>214</v>
      </c>
      <c r="E908" s="143">
        <f>6.22*5.67</f>
        <v>35.2674</v>
      </c>
      <c r="F908" s="143">
        <f>$F$333</f>
        <v>275</v>
      </c>
      <c r="G908" s="143">
        <f>$G$333</f>
        <v>429.25</v>
      </c>
      <c r="H908" s="143">
        <f>$H$333</f>
        <v>102.5</v>
      </c>
      <c r="I908" s="17">
        <f>(F908+G908+H908)*$I$3</f>
        <v>80.675</v>
      </c>
      <c r="J908" s="18">
        <f>ROUND(SUM(F908:I908),2)</f>
        <v>887.43</v>
      </c>
      <c r="K908" s="19">
        <f>ROUND(J908*E908,2)</f>
        <v>31297.35</v>
      </c>
      <c r="L908" s="178"/>
      <c r="M908" s="139">
        <v>1</v>
      </c>
      <c r="N908" s="139">
        <v>28451.97</v>
      </c>
      <c r="O908" s="139"/>
      <c r="P908" s="37">
        <f>Q908+Q908*R908+S908+T908+U908</f>
        <v>806.75</v>
      </c>
      <c r="Q908" s="99">
        <f>$Q$333</f>
        <v>425</v>
      </c>
      <c r="R908" s="163">
        <f>$R$333</f>
        <v>0.01</v>
      </c>
      <c r="S908" s="99">
        <f>$S$333</f>
        <v>275</v>
      </c>
      <c r="T908" s="99">
        <f>$T$333</f>
        <v>90</v>
      </c>
      <c r="U908" s="99">
        <f>$U$333</f>
        <v>12.5</v>
      </c>
      <c r="V908" s="37">
        <f>P908*E908</f>
        <v>28451.97495</v>
      </c>
      <c r="W908" s="139"/>
      <c r="X908" s="139"/>
      <c r="Y908" s="139"/>
      <c r="Z908" s="139"/>
      <c r="AA908" s="139"/>
      <c r="AB908" s="139"/>
      <c r="AC908" s="139"/>
      <c r="AD908" s="139"/>
      <c r="AE908" s="139"/>
      <c r="AF908" s="140"/>
      <c r="AG908" s="140"/>
      <c r="AH908" s="140"/>
      <c r="AI908" s="140"/>
      <c r="AJ908" s="140"/>
      <c r="AK908" s="140"/>
      <c r="AL908" s="140"/>
      <c r="AM908" s="140"/>
      <c r="AN908" s="140"/>
      <c r="AO908" s="140"/>
      <c r="AP908" s="140"/>
      <c r="AQ908" s="140"/>
      <c r="AR908" s="140"/>
      <c r="AS908" s="140"/>
      <c r="AT908" s="140"/>
      <c r="AU908" s="140"/>
      <c r="AV908" s="140"/>
      <c r="AW908" s="140"/>
      <c r="AX908" s="140"/>
      <c r="AY908" s="140"/>
      <c r="AZ908" s="140"/>
      <c r="BA908" s="140"/>
      <c r="BB908" s="140"/>
      <c r="BC908" s="140"/>
      <c r="BD908" s="140"/>
      <c r="BE908" s="140"/>
    </row>
    <row r="909" s="119" customFormat="1" ht="33.75" customHeight="1" outlineLevel="2" spans="1:57">
      <c r="A909" s="162">
        <f>1+N(A908)</f>
        <v>2</v>
      </c>
      <c r="B909" s="165" t="s">
        <v>215</v>
      </c>
      <c r="C909" s="183" t="s">
        <v>216</v>
      </c>
      <c r="D909" s="184" t="s">
        <v>63</v>
      </c>
      <c r="E909" s="143">
        <f>63.231*5.67</f>
        <v>358.51977</v>
      </c>
      <c r="F909" s="143">
        <f>$F$334</f>
        <v>22</v>
      </c>
      <c r="G909" s="143">
        <f>$G$334</f>
        <v>0</v>
      </c>
      <c r="H909" s="143">
        <f>$H$334</f>
        <v>9</v>
      </c>
      <c r="I909" s="17">
        <f>(F909+G909+H909)*$I$3</f>
        <v>3.1</v>
      </c>
      <c r="J909" s="18">
        <f>ROUND(SUM(F909:I909),2)</f>
        <v>34.1</v>
      </c>
      <c r="K909" s="19">
        <f>ROUND(J909*E909,2)</f>
        <v>12225.52</v>
      </c>
      <c r="L909" s="178"/>
      <c r="M909" s="139">
        <v>1</v>
      </c>
      <c r="N909" s="139">
        <v>11114.11</v>
      </c>
      <c r="O909" s="139"/>
      <c r="P909" s="37">
        <f>Q909+Q909*R909+S909+T909+U909</f>
        <v>31</v>
      </c>
      <c r="Q909" s="99">
        <f>$Q$334</f>
        <v>0</v>
      </c>
      <c r="R909" s="163">
        <f>$R$334</f>
        <v>0</v>
      </c>
      <c r="S909" s="99">
        <f>$S$334</f>
        <v>22</v>
      </c>
      <c r="T909" s="99">
        <f>$T$334</f>
        <v>8.5</v>
      </c>
      <c r="U909" s="99">
        <f>$U$334</f>
        <v>0.5</v>
      </c>
      <c r="V909" s="37">
        <f>P909*E909</f>
        <v>11114.11287</v>
      </c>
      <c r="W909" s="139"/>
      <c r="X909" s="139"/>
      <c r="Y909" s="139"/>
      <c r="Z909" s="139"/>
      <c r="AA909" s="139"/>
      <c r="AB909" s="139"/>
      <c r="AC909" s="139"/>
      <c r="AD909" s="139"/>
      <c r="AE909" s="139"/>
      <c r="AF909" s="140"/>
      <c r="AG909" s="140"/>
      <c r="AH909" s="140"/>
      <c r="AI909" s="140"/>
      <c r="AJ909" s="140"/>
      <c r="AK909" s="140"/>
      <c r="AL909" s="140"/>
      <c r="AM909" s="140"/>
      <c r="AN909" s="140"/>
      <c r="AO909" s="140"/>
      <c r="AP909" s="140"/>
      <c r="AQ909" s="140"/>
      <c r="AR909" s="140"/>
      <c r="AS909" s="140"/>
      <c r="AT909" s="140"/>
      <c r="AU909" s="140"/>
      <c r="AV909" s="140"/>
      <c r="AW909" s="140"/>
      <c r="AX909" s="140"/>
      <c r="AY909" s="140"/>
      <c r="AZ909" s="140"/>
      <c r="BA909" s="140"/>
      <c r="BB909" s="140"/>
      <c r="BC909" s="140"/>
      <c r="BD909" s="140"/>
      <c r="BE909" s="140"/>
    </row>
    <row r="910" s="119" customFormat="1" ht="72" customHeight="1" outlineLevel="2" spans="1:57">
      <c r="A910" s="162">
        <f>1+N(A909)</f>
        <v>3</v>
      </c>
      <c r="B910" s="165" t="s">
        <v>162</v>
      </c>
      <c r="C910" s="166" t="s">
        <v>163</v>
      </c>
      <c r="D910" s="142" t="s">
        <v>63</v>
      </c>
      <c r="E910" s="143">
        <f>110.395*5.67</f>
        <v>625.93965</v>
      </c>
      <c r="F910" s="143">
        <f>$F$167</f>
        <v>65</v>
      </c>
      <c r="G910" s="143">
        <f>$G$167</f>
        <v>78.275</v>
      </c>
      <c r="H910" s="143">
        <f>$H$167</f>
        <v>17</v>
      </c>
      <c r="I910" s="17">
        <f>(F910+G910+H910)*$I$3</f>
        <v>16.0275</v>
      </c>
      <c r="J910" s="18">
        <f>ROUND(SUM(F910:I910),2)</f>
        <v>176.3</v>
      </c>
      <c r="K910" s="19">
        <f>ROUND(J910*E910,2)</f>
        <v>110353.16</v>
      </c>
      <c r="L910" s="178"/>
      <c r="M910" s="139">
        <v>1</v>
      </c>
      <c r="N910" s="139">
        <v>100325.61</v>
      </c>
      <c r="O910" s="139"/>
      <c r="P910" s="37">
        <f>Q910+Q910*R910+S910+T910+U910</f>
        <v>160.275</v>
      </c>
      <c r="Q910" s="99">
        <f>$Q$167</f>
        <v>77.5</v>
      </c>
      <c r="R910" s="163">
        <f>$R$167</f>
        <v>0.01</v>
      </c>
      <c r="S910" s="99">
        <f>$S$167</f>
        <v>65</v>
      </c>
      <c r="T910" s="99">
        <f>$T$167</f>
        <v>15.5</v>
      </c>
      <c r="U910" s="99">
        <f>$U$167</f>
        <v>1.5</v>
      </c>
      <c r="V910" s="37">
        <f>P910*E910</f>
        <v>100322.47740375</v>
      </c>
      <c r="W910" s="139"/>
      <c r="X910" s="139"/>
      <c r="Y910" s="139"/>
      <c r="Z910" s="139"/>
      <c r="AA910" s="139"/>
      <c r="AB910" s="139"/>
      <c r="AC910" s="139"/>
      <c r="AD910" s="139"/>
      <c r="AE910" s="139"/>
      <c r="AF910" s="140"/>
      <c r="AG910" s="140"/>
      <c r="AH910" s="140"/>
      <c r="AI910" s="140"/>
      <c r="AJ910" s="140"/>
      <c r="AK910" s="140"/>
      <c r="AL910" s="140"/>
      <c r="AM910" s="140"/>
      <c r="AN910" s="140"/>
      <c r="AO910" s="140"/>
      <c r="AP910" s="140"/>
      <c r="AQ910" s="140"/>
      <c r="AR910" s="140"/>
      <c r="AS910" s="140"/>
      <c r="AT910" s="140"/>
      <c r="AU910" s="140"/>
      <c r="AV910" s="140"/>
      <c r="AW910" s="140"/>
      <c r="AX910" s="140"/>
      <c r="AY910" s="140"/>
      <c r="AZ910" s="140"/>
      <c r="BA910" s="140"/>
      <c r="BB910" s="140"/>
      <c r="BC910" s="140"/>
      <c r="BD910" s="140"/>
      <c r="BE910" s="140"/>
    </row>
    <row r="911" s="2" customFormat="1" ht="24" customHeight="1" spans="1:57">
      <c r="A911" s="8" t="s">
        <v>427</v>
      </c>
      <c r="B911" s="8" t="s">
        <v>428</v>
      </c>
      <c r="C911" s="8"/>
      <c r="D911" s="8"/>
      <c r="E911" s="128"/>
      <c r="F911" s="128"/>
      <c r="G911" s="128"/>
      <c r="H911" s="128"/>
      <c r="I911" s="128"/>
      <c r="J911" s="128"/>
      <c r="K911" s="11">
        <f>SUM(K912:K1037)</f>
        <v>1296269.12</v>
      </c>
      <c r="L911" s="178"/>
      <c r="M911" s="130"/>
      <c r="N911" s="130"/>
      <c r="O911" s="130"/>
      <c r="P911" s="128"/>
      <c r="Q911" s="128"/>
      <c r="R911" s="129"/>
      <c r="S911" s="128"/>
      <c r="T911" s="128"/>
      <c r="U911" s="128"/>
      <c r="V911" s="128"/>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c r="BA911" s="130"/>
      <c r="BB911" s="130"/>
      <c r="BC911" s="130"/>
      <c r="BD911" s="130"/>
      <c r="BE911" s="130"/>
    </row>
    <row r="912" s="119" customFormat="1" ht="24" customHeight="1" outlineLevel="1" spans="1:57">
      <c r="A912" s="132" t="s">
        <v>58</v>
      </c>
      <c r="B912" s="179" t="s">
        <v>429</v>
      </c>
      <c r="C912" s="180"/>
      <c r="D912" s="133"/>
      <c r="E912" s="134"/>
      <c r="F912" s="134"/>
      <c r="G912" s="134"/>
      <c r="H912" s="134"/>
      <c r="I912" s="134"/>
      <c r="J912" s="134"/>
      <c r="K912" s="11"/>
      <c r="L912" s="135"/>
      <c r="M912" s="139"/>
      <c r="N912" s="139"/>
      <c r="O912" s="139"/>
      <c r="P912" s="137"/>
      <c r="Q912" s="137"/>
      <c r="R912" s="138"/>
      <c r="S912" s="137"/>
      <c r="T912" s="137"/>
      <c r="U912" s="137"/>
      <c r="V912" s="137"/>
      <c r="W912" s="139"/>
      <c r="X912" s="139"/>
      <c r="Y912" s="139"/>
      <c r="Z912" s="139"/>
      <c r="AA912" s="139"/>
      <c r="AB912" s="139"/>
      <c r="AC912" s="139"/>
      <c r="AD912" s="139"/>
      <c r="AE912" s="139"/>
      <c r="AF912" s="140"/>
      <c r="AG912" s="140"/>
      <c r="AH912" s="140"/>
      <c r="AI912" s="140"/>
      <c r="AJ912" s="140"/>
      <c r="AK912" s="140"/>
      <c r="AL912" s="140"/>
      <c r="AM912" s="140"/>
      <c r="AN912" s="140"/>
      <c r="AO912" s="140"/>
      <c r="AP912" s="140"/>
      <c r="AQ912" s="140"/>
      <c r="AR912" s="140"/>
      <c r="AS912" s="140"/>
      <c r="AT912" s="140"/>
      <c r="AU912" s="140"/>
      <c r="AV912" s="140"/>
      <c r="AW912" s="140"/>
      <c r="AX912" s="140"/>
      <c r="AY912" s="140"/>
      <c r="AZ912" s="140"/>
      <c r="BA912" s="140"/>
      <c r="BB912" s="140"/>
      <c r="BC912" s="140"/>
      <c r="BD912" s="140"/>
      <c r="BE912" s="140"/>
    </row>
    <row r="913" s="119" customFormat="1" ht="24" customHeight="1" outlineLevel="1" spans="1:57">
      <c r="A913" s="141"/>
      <c r="B913" s="14" t="s">
        <v>60</v>
      </c>
      <c r="C913" s="15"/>
      <c r="D913" s="142"/>
      <c r="E913" s="143"/>
      <c r="F913" s="143"/>
      <c r="G913" s="143"/>
      <c r="H913" s="143"/>
      <c r="I913" s="143"/>
      <c r="J913" s="143"/>
      <c r="K913" s="144"/>
      <c r="L913" s="135"/>
      <c r="M913" s="139"/>
      <c r="N913" s="139"/>
      <c r="O913" s="139"/>
      <c r="P913" s="137"/>
      <c r="Q913" s="137"/>
      <c r="R913" s="138"/>
      <c r="S913" s="137"/>
      <c r="T913" s="137"/>
      <c r="U913" s="137"/>
      <c r="V913" s="137"/>
      <c r="W913" s="139"/>
      <c r="X913" s="139"/>
      <c r="Y913" s="139"/>
      <c r="Z913" s="139"/>
      <c r="AA913" s="139"/>
      <c r="AB913" s="139"/>
      <c r="AC913" s="139"/>
      <c r="AD913" s="139"/>
      <c r="AE913" s="139"/>
      <c r="AF913" s="140"/>
      <c r="AG913" s="140"/>
      <c r="AH913" s="140"/>
      <c r="AI913" s="140"/>
      <c r="AJ913" s="140"/>
      <c r="AK913" s="140"/>
      <c r="AL913" s="140"/>
      <c r="AM913" s="140"/>
      <c r="AN913" s="140"/>
      <c r="AO913" s="140"/>
      <c r="AP913" s="140"/>
      <c r="AQ913" s="140"/>
      <c r="AR913" s="140"/>
      <c r="AS913" s="140"/>
      <c r="AT913" s="140"/>
      <c r="AU913" s="140"/>
      <c r="AV913" s="140"/>
      <c r="AW913" s="140"/>
      <c r="AX913" s="140"/>
      <c r="AY913" s="140"/>
      <c r="AZ913" s="140"/>
      <c r="BA913" s="140"/>
      <c r="BB913" s="140"/>
      <c r="BC913" s="140"/>
      <c r="BD913" s="140"/>
      <c r="BE913" s="140"/>
    </row>
    <row r="914" s="119" customFormat="1" ht="48" customHeight="1" outlineLevel="2" spans="1:57">
      <c r="A914" s="162">
        <f>1+N(A913)</f>
        <v>1</v>
      </c>
      <c r="B914" s="14" t="s">
        <v>168</v>
      </c>
      <c r="C914" s="15" t="s">
        <v>430</v>
      </c>
      <c r="D914" s="142" t="s">
        <v>63</v>
      </c>
      <c r="E914" s="143">
        <v>37.24</v>
      </c>
      <c r="F914" s="143">
        <f>$F$227</f>
        <v>28</v>
      </c>
      <c r="G914" s="143">
        <f>$G$227</f>
        <v>0</v>
      </c>
      <c r="H914" s="143">
        <f>$H$227</f>
        <v>31.8</v>
      </c>
      <c r="I914" s="17">
        <f>(F914+G914+H914)*$I$3</f>
        <v>5.98</v>
      </c>
      <c r="J914" s="18">
        <f>ROUND(SUM(F914:I914),2)</f>
        <v>65.78</v>
      </c>
      <c r="K914" s="19">
        <f>ROUND(J914*E914,2)</f>
        <v>2449.65</v>
      </c>
      <c r="L914" s="135"/>
      <c r="M914" s="139"/>
      <c r="N914" s="139"/>
      <c r="O914" s="139"/>
      <c r="P914" s="37">
        <f>Q914+Q914*R914+S914+T914+U914</f>
        <v>59.8</v>
      </c>
      <c r="Q914" s="99">
        <f>$Q$227</f>
        <v>0</v>
      </c>
      <c r="R914" s="163">
        <f>$R$227</f>
        <v>0</v>
      </c>
      <c r="S914" s="99">
        <f>$S$227</f>
        <v>28</v>
      </c>
      <c r="T914" s="99">
        <f>$T$227</f>
        <v>31.5</v>
      </c>
      <c r="U914" s="99">
        <f>$U$227</f>
        <v>0.3</v>
      </c>
      <c r="V914" s="37">
        <f>P914*E914</f>
        <v>2226.952</v>
      </c>
      <c r="W914" s="139"/>
      <c r="X914" s="139"/>
      <c r="Y914" s="139"/>
      <c r="Z914" s="139"/>
      <c r="AA914" s="139"/>
      <c r="AB914" s="139"/>
      <c r="AC914" s="139"/>
      <c r="AD914" s="139"/>
      <c r="AE914" s="139"/>
      <c r="AF914" s="140"/>
      <c r="AG914" s="140"/>
      <c r="AH914" s="140"/>
      <c r="AI914" s="140"/>
      <c r="AJ914" s="140"/>
      <c r="AK914" s="140"/>
      <c r="AL914" s="140"/>
      <c r="AM914" s="140"/>
      <c r="AN914" s="140"/>
      <c r="AO914" s="140"/>
      <c r="AP914" s="140"/>
      <c r="AQ914" s="140"/>
      <c r="AR914" s="140"/>
      <c r="AS914" s="140"/>
      <c r="AT914" s="140"/>
      <c r="AU914" s="140"/>
      <c r="AV914" s="140"/>
      <c r="AW914" s="140"/>
      <c r="AX914" s="140"/>
      <c r="AY914" s="140"/>
      <c r="AZ914" s="140"/>
      <c r="BA914" s="140"/>
      <c r="BB914" s="140"/>
      <c r="BC914" s="140"/>
      <c r="BD914" s="140"/>
      <c r="BE914" s="140"/>
    </row>
    <row r="915" s="119" customFormat="1" ht="60" customHeight="1" outlineLevel="2" spans="1:57">
      <c r="A915" s="145">
        <f>1+N(A914)</f>
        <v>2</v>
      </c>
      <c r="B915" s="146" t="s">
        <v>431</v>
      </c>
      <c r="C915" s="147" t="s">
        <v>432</v>
      </c>
      <c r="D915" s="148" t="s">
        <v>63</v>
      </c>
      <c r="E915" s="149">
        <v>37.24</v>
      </c>
      <c r="F915" s="149">
        <f>S915*$S$1</f>
        <v>36</v>
      </c>
      <c r="G915" s="149">
        <f>Q915*(1+R915)*$Q$1</f>
        <v>471.5</v>
      </c>
      <c r="H915" s="149">
        <f>(T915+U915)*$T$1</f>
        <v>17.5</v>
      </c>
      <c r="I915" s="150">
        <f>(F915+G915+H915)*$I$3</f>
        <v>52.5</v>
      </c>
      <c r="J915" s="151">
        <f>ROUND(SUM(F915:I915),2)</f>
        <v>577.5</v>
      </c>
      <c r="K915" s="152">
        <f>ROUND(J915*E915,2)</f>
        <v>21506.1</v>
      </c>
      <c r="L915" s="153"/>
      <c r="M915" s="139"/>
      <c r="N915" s="139"/>
      <c r="O915" s="139"/>
      <c r="P915" s="37">
        <f>Q915+Q915*R915+S915+T915+U915</f>
        <v>525</v>
      </c>
      <c r="Q915" s="71">
        <v>460</v>
      </c>
      <c r="R915" s="157">
        <v>0.025</v>
      </c>
      <c r="S915" s="71">
        <v>36</v>
      </c>
      <c r="T915" s="71">
        <v>17.5</v>
      </c>
      <c r="U915" s="71"/>
      <c r="V915" s="37">
        <f>P915*E915</f>
        <v>19551</v>
      </c>
      <c r="W915" s="139"/>
      <c r="X915" s="139"/>
      <c r="Y915" s="139"/>
      <c r="Z915" s="139"/>
      <c r="AA915" s="139"/>
      <c r="AB915" s="139"/>
      <c r="AC915" s="139"/>
      <c r="AD915" s="139"/>
      <c r="AE915" s="139"/>
      <c r="AF915" s="140"/>
      <c r="AG915" s="140"/>
      <c r="AH915" s="140"/>
      <c r="AI915" s="140"/>
      <c r="AJ915" s="140"/>
      <c r="AK915" s="140"/>
      <c r="AL915" s="140"/>
      <c r="AM915" s="140"/>
      <c r="AN915" s="140"/>
      <c r="AO915" s="140"/>
      <c r="AP915" s="140"/>
      <c r="AQ915" s="140"/>
      <c r="AR915" s="140"/>
      <c r="AS915" s="140"/>
      <c r="AT915" s="140"/>
      <c r="AU915" s="140"/>
      <c r="AV915" s="140"/>
      <c r="AW915" s="140"/>
      <c r="AX915" s="140"/>
      <c r="AY915" s="140"/>
      <c r="AZ915" s="140"/>
      <c r="BA915" s="140"/>
      <c r="BB915" s="140"/>
      <c r="BC915" s="140"/>
      <c r="BD915" s="140"/>
      <c r="BE915" s="140"/>
    </row>
    <row r="916" s="119" customFormat="1" ht="36" customHeight="1" outlineLevel="2" spans="1:57">
      <c r="A916" s="162">
        <f>1+N(A915)</f>
        <v>3</v>
      </c>
      <c r="B916" s="14" t="s">
        <v>68</v>
      </c>
      <c r="C916" s="15" t="s">
        <v>69</v>
      </c>
      <c r="D916" s="142" t="s">
        <v>70</v>
      </c>
      <c r="E916" s="143">
        <v>3.86</v>
      </c>
      <c r="F916" s="143">
        <f>$F$10</f>
        <v>12</v>
      </c>
      <c r="G916" s="143">
        <f>$G$10</f>
        <v>19.57</v>
      </c>
      <c r="H916" s="143">
        <f>$H$10</f>
        <v>0.5</v>
      </c>
      <c r="I916" s="17">
        <f>(F916+G916+H916)*$I$3</f>
        <v>3.207</v>
      </c>
      <c r="J916" s="18">
        <f>ROUND(SUM(F916:I916),2)</f>
        <v>35.28</v>
      </c>
      <c r="K916" s="19">
        <f>ROUND(J916*E916,2)</f>
        <v>136.18</v>
      </c>
      <c r="L916" s="135"/>
      <c r="M916" s="139"/>
      <c r="N916" s="139"/>
      <c r="O916" s="139"/>
      <c r="P916" s="37">
        <f>Q916+Q916*R916+S916+T916+U916</f>
        <v>32.07</v>
      </c>
      <c r="Q916" s="99">
        <f>$Q$10</f>
        <v>19</v>
      </c>
      <c r="R916" s="163">
        <f>$R$10</f>
        <v>0.03</v>
      </c>
      <c r="S916" s="99">
        <f>$S$10</f>
        <v>12</v>
      </c>
      <c r="T916" s="99">
        <f>$T$10</f>
        <v>0.3</v>
      </c>
      <c r="U916" s="99">
        <f>$U$10</f>
        <v>0.2</v>
      </c>
      <c r="V916" s="37">
        <f>P916*E916</f>
        <v>123.7902</v>
      </c>
      <c r="W916" s="139"/>
      <c r="X916" s="139"/>
      <c r="Y916" s="139"/>
      <c r="Z916" s="139"/>
      <c r="AA916" s="139"/>
      <c r="AB916" s="139"/>
      <c r="AC916" s="139"/>
      <c r="AD916" s="139"/>
      <c r="AE916" s="139"/>
      <c r="AF916" s="140"/>
      <c r="AG916" s="140"/>
      <c r="AH916" s="140"/>
      <c r="AI916" s="140"/>
      <c r="AJ916" s="140"/>
      <c r="AK916" s="140"/>
      <c r="AL916" s="140"/>
      <c r="AM916" s="140"/>
      <c r="AN916" s="140"/>
      <c r="AO916" s="140"/>
      <c r="AP916" s="140"/>
      <c r="AQ916" s="140"/>
      <c r="AR916" s="140"/>
      <c r="AS916" s="140"/>
      <c r="AT916" s="140"/>
      <c r="AU916" s="140"/>
      <c r="AV916" s="140"/>
      <c r="AW916" s="140"/>
      <c r="AX916" s="140"/>
      <c r="AY916" s="140"/>
      <c r="AZ916" s="140"/>
      <c r="BA916" s="140"/>
      <c r="BB916" s="140"/>
      <c r="BC916" s="140"/>
      <c r="BD916" s="140"/>
      <c r="BE916" s="140"/>
    </row>
    <row r="917" s="119" customFormat="1" ht="24" customHeight="1" outlineLevel="1" spans="1:57">
      <c r="A917" s="141"/>
      <c r="B917" s="14" t="s">
        <v>73</v>
      </c>
      <c r="C917" s="15"/>
      <c r="D917" s="142"/>
      <c r="E917" s="143"/>
      <c r="F917" s="143"/>
      <c r="G917" s="143"/>
      <c r="H917" s="143"/>
      <c r="I917" s="143"/>
      <c r="J917" s="143"/>
      <c r="K917" s="144"/>
      <c r="L917" s="135"/>
      <c r="M917" s="139"/>
      <c r="N917" s="139"/>
      <c r="O917" s="139"/>
      <c r="P917" s="137"/>
      <c r="Q917" s="137"/>
      <c r="R917" s="138"/>
      <c r="S917" s="137"/>
      <c r="T917" s="137"/>
      <c r="U917" s="137"/>
      <c r="V917" s="137"/>
      <c r="W917" s="139"/>
      <c r="X917" s="139"/>
      <c r="Y917" s="139"/>
      <c r="Z917" s="139"/>
      <c r="AA917" s="139"/>
      <c r="AB917" s="139"/>
      <c r="AC917" s="139"/>
      <c r="AD917" s="139"/>
      <c r="AE917" s="139"/>
      <c r="AF917" s="140"/>
      <c r="AG917" s="140"/>
      <c r="AH917" s="140"/>
      <c r="AI917" s="140"/>
      <c r="AJ917" s="140"/>
      <c r="AK917" s="140"/>
      <c r="AL917" s="140"/>
      <c r="AM917" s="140"/>
      <c r="AN917" s="140"/>
      <c r="AO917" s="140"/>
      <c r="AP917" s="140"/>
      <c r="AQ917" s="140"/>
      <c r="AR917" s="140"/>
      <c r="AS917" s="140"/>
      <c r="AT917" s="140"/>
      <c r="AU917" s="140"/>
      <c r="AV917" s="140"/>
      <c r="AW917" s="140"/>
      <c r="AX917" s="140"/>
      <c r="AY917" s="140"/>
      <c r="AZ917" s="140"/>
      <c r="BA917" s="140"/>
      <c r="BB917" s="140"/>
      <c r="BC917" s="140"/>
      <c r="BD917" s="140"/>
      <c r="BE917" s="140"/>
    </row>
    <row r="918" s="119" customFormat="1" ht="48" customHeight="1" outlineLevel="2" spans="1:57">
      <c r="A918" s="145">
        <f t="shared" ref="A918:A923" si="279">1+N(A917)</f>
        <v>1</v>
      </c>
      <c r="B918" s="158" t="s">
        <v>433</v>
      </c>
      <c r="C918" s="147" t="s">
        <v>434</v>
      </c>
      <c r="D918" s="148" t="s">
        <v>63</v>
      </c>
      <c r="E918" s="149">
        <v>46.905</v>
      </c>
      <c r="F918" s="149">
        <f>S918*$S$1</f>
        <v>35</v>
      </c>
      <c r="G918" s="149">
        <f>Q918*(1+R918)*$Q$1</f>
        <v>469.68</v>
      </c>
      <c r="H918" s="149">
        <f>(T918+U918)*$T$1</f>
        <v>54.7</v>
      </c>
      <c r="I918" s="150">
        <f t="shared" ref="I918:I923" si="280">(F918+G918+H918)*$I$3</f>
        <v>55.938</v>
      </c>
      <c r="J918" s="151">
        <f t="shared" ref="J918:J923" si="281">ROUND(SUM(F918:I918),2)</f>
        <v>615.32</v>
      </c>
      <c r="K918" s="152">
        <f t="shared" ref="K918:K923" si="282">ROUND(J918*E918,2)</f>
        <v>28861.58</v>
      </c>
      <c r="L918" s="153"/>
      <c r="M918" s="139"/>
      <c r="N918" s="139"/>
      <c r="O918" s="139"/>
      <c r="P918" s="37">
        <f t="shared" ref="P918:P923" si="283">Q918+Q918*R918+S918+T918+U918</f>
        <v>559.38</v>
      </c>
      <c r="Q918" s="168">
        <f>336+120</f>
        <v>456</v>
      </c>
      <c r="R918" s="155">
        <v>0.03</v>
      </c>
      <c r="S918" s="169">
        <v>35</v>
      </c>
      <c r="T918" s="169">
        <f>15+35+3.5</f>
        <v>53.5</v>
      </c>
      <c r="U918" s="169">
        <v>1.2</v>
      </c>
      <c r="V918" s="37">
        <f t="shared" ref="V918:V923" si="284">P918*E918</f>
        <v>26237.7189</v>
      </c>
      <c r="W918" s="139"/>
      <c r="X918" s="139"/>
      <c r="Y918" s="139"/>
      <c r="Z918" s="139"/>
      <c r="AA918" s="139"/>
      <c r="AB918" s="139"/>
      <c r="AC918" s="139"/>
      <c r="AD918" s="139"/>
      <c r="AE918" s="139"/>
      <c r="AF918" s="140"/>
      <c r="AG918" s="140"/>
      <c r="AH918" s="140"/>
      <c r="AI918" s="140"/>
      <c r="AJ918" s="140"/>
      <c r="AK918" s="140"/>
      <c r="AL918" s="140"/>
      <c r="AM918" s="140"/>
      <c r="AN918" s="140"/>
      <c r="AO918" s="140"/>
      <c r="AP918" s="140"/>
      <c r="AQ918" s="140"/>
      <c r="AR918" s="140"/>
      <c r="AS918" s="140"/>
      <c r="AT918" s="140"/>
      <c r="AU918" s="140"/>
      <c r="AV918" s="140"/>
      <c r="AW918" s="140"/>
      <c r="AX918" s="140"/>
      <c r="AY918" s="140"/>
      <c r="AZ918" s="140"/>
      <c r="BA918" s="140"/>
      <c r="BB918" s="140"/>
      <c r="BC918" s="140"/>
      <c r="BD918" s="140"/>
      <c r="BE918" s="140"/>
    </row>
    <row r="919" s="119" customFormat="1" ht="60" customHeight="1" outlineLevel="2" spans="1:57">
      <c r="A919" s="162">
        <f t="shared" si="279"/>
        <v>2</v>
      </c>
      <c r="B919" s="165" t="s">
        <v>174</v>
      </c>
      <c r="C919" s="166" t="s">
        <v>175</v>
      </c>
      <c r="D919" s="142" t="s">
        <v>63</v>
      </c>
      <c r="E919" s="143">
        <v>24.75</v>
      </c>
      <c r="F919" s="143">
        <f>$F$180</f>
        <v>110</v>
      </c>
      <c r="G919" s="143">
        <f>$G$180</f>
        <v>87.55</v>
      </c>
      <c r="H919" s="143">
        <f>$H$180</f>
        <v>126.35</v>
      </c>
      <c r="I919" s="17">
        <f t="shared" si="280"/>
        <v>32.39</v>
      </c>
      <c r="J919" s="18">
        <f t="shared" si="281"/>
        <v>356.29</v>
      </c>
      <c r="K919" s="19">
        <f t="shared" si="282"/>
        <v>8818.18</v>
      </c>
      <c r="L919" s="135"/>
      <c r="M919" s="139"/>
      <c r="N919" s="139"/>
      <c r="O919" s="139"/>
      <c r="P919" s="37">
        <f t="shared" si="283"/>
        <v>323.9</v>
      </c>
      <c r="Q919" s="99">
        <f>$Q$180</f>
        <v>85</v>
      </c>
      <c r="R919" s="163">
        <f>$R$180</f>
        <v>0.03</v>
      </c>
      <c r="S919" s="99">
        <f>$S$180</f>
        <v>110</v>
      </c>
      <c r="T919" s="99">
        <f>$T$180</f>
        <v>125.75</v>
      </c>
      <c r="U919" s="99">
        <f>$U$180</f>
        <v>0.6</v>
      </c>
      <c r="V919" s="37">
        <f t="shared" si="284"/>
        <v>8016.525</v>
      </c>
      <c r="W919" s="139"/>
      <c r="X919" s="139"/>
      <c r="Y919" s="139"/>
      <c r="Z919" s="139"/>
      <c r="AA919" s="139"/>
      <c r="AB919" s="139"/>
      <c r="AC919" s="139"/>
      <c r="AD919" s="139"/>
      <c r="AE919" s="139"/>
      <c r="AF919" s="140"/>
      <c r="AG919" s="140"/>
      <c r="AH919" s="140"/>
      <c r="AI919" s="140"/>
      <c r="AJ919" s="140"/>
      <c r="AK919" s="140"/>
      <c r="AL919" s="140"/>
      <c r="AM919" s="140"/>
      <c r="AN919" s="140"/>
      <c r="AO919" s="140"/>
      <c r="AP919" s="140"/>
      <c r="AQ919" s="140"/>
      <c r="AR919" s="140"/>
      <c r="AS919" s="140"/>
      <c r="AT919" s="140"/>
      <c r="AU919" s="140"/>
      <c r="AV919" s="140"/>
      <c r="AW919" s="140"/>
      <c r="AX919" s="140"/>
      <c r="AY919" s="140"/>
      <c r="AZ919" s="140"/>
      <c r="BA919" s="140"/>
      <c r="BB919" s="140"/>
      <c r="BC919" s="140"/>
      <c r="BD919" s="140"/>
      <c r="BE919" s="140"/>
    </row>
    <row r="920" s="119" customFormat="1" ht="48" customHeight="1" outlineLevel="2" spans="1:57">
      <c r="A920" s="162">
        <f t="shared" si="279"/>
        <v>3</v>
      </c>
      <c r="B920" s="165" t="s">
        <v>91</v>
      </c>
      <c r="C920" s="185" t="s">
        <v>92</v>
      </c>
      <c r="D920" s="142" t="s">
        <v>70</v>
      </c>
      <c r="E920" s="143">
        <v>25.518</v>
      </c>
      <c r="F920" s="143">
        <f>$F$22</f>
        <v>12</v>
      </c>
      <c r="G920" s="143">
        <f>$G$22</f>
        <v>25.75</v>
      </c>
      <c r="H920" s="143">
        <f>$H$22</f>
        <v>3.8</v>
      </c>
      <c r="I920" s="17">
        <f t="shared" si="280"/>
        <v>4.155</v>
      </c>
      <c r="J920" s="18">
        <f t="shared" si="281"/>
        <v>45.71</v>
      </c>
      <c r="K920" s="19">
        <f t="shared" si="282"/>
        <v>1166.43</v>
      </c>
      <c r="L920" s="135"/>
      <c r="M920" s="139"/>
      <c r="N920" s="139"/>
      <c r="O920" s="139"/>
      <c r="P920" s="37">
        <f t="shared" si="283"/>
        <v>41.55</v>
      </c>
      <c r="Q920" s="99">
        <f>$Q$22</f>
        <v>25</v>
      </c>
      <c r="R920" s="163">
        <f>$R$22</f>
        <v>0.03</v>
      </c>
      <c r="S920" s="99">
        <f>$S$22</f>
        <v>12</v>
      </c>
      <c r="T920" s="99">
        <f>$T$22</f>
        <v>3.5</v>
      </c>
      <c r="U920" s="99">
        <f>$U$22</f>
        <v>0.3</v>
      </c>
      <c r="V920" s="37">
        <f t="shared" si="284"/>
        <v>1060.2729</v>
      </c>
      <c r="W920" s="139"/>
      <c r="X920" s="139"/>
      <c r="Y920" s="139"/>
      <c r="Z920" s="139"/>
      <c r="AA920" s="139"/>
      <c r="AB920" s="139"/>
      <c r="AC920" s="139"/>
      <c r="AD920" s="139"/>
      <c r="AE920" s="139"/>
      <c r="AF920" s="140"/>
      <c r="AG920" s="140"/>
      <c r="AH920" s="140"/>
      <c r="AI920" s="140"/>
      <c r="AJ920" s="140"/>
      <c r="AK920" s="140"/>
      <c r="AL920" s="140"/>
      <c r="AM920" s="140"/>
      <c r="AN920" s="140"/>
      <c r="AO920" s="140"/>
      <c r="AP920" s="140"/>
      <c r="AQ920" s="140"/>
      <c r="AR920" s="140"/>
      <c r="AS920" s="140"/>
      <c r="AT920" s="140"/>
      <c r="AU920" s="140"/>
      <c r="AV920" s="140"/>
      <c r="AW920" s="140"/>
      <c r="AX920" s="140"/>
      <c r="AY920" s="140"/>
      <c r="AZ920" s="140"/>
      <c r="BA920" s="140"/>
      <c r="BB920" s="140"/>
      <c r="BC920" s="140"/>
      <c r="BD920" s="140"/>
      <c r="BE920" s="140"/>
    </row>
    <row r="921" s="119" customFormat="1" ht="60" customHeight="1" outlineLevel="2" spans="1:57">
      <c r="A921" s="162">
        <f t="shared" si="279"/>
        <v>4</v>
      </c>
      <c r="B921" s="14" t="s">
        <v>99</v>
      </c>
      <c r="C921" s="15" t="s">
        <v>100</v>
      </c>
      <c r="D921" s="142" t="s">
        <v>70</v>
      </c>
      <c r="E921" s="143">
        <v>21.491</v>
      </c>
      <c r="F921" s="143">
        <f>$F$26</f>
        <v>12</v>
      </c>
      <c r="G921" s="143">
        <f>$G$26</f>
        <v>23.4325</v>
      </c>
      <c r="H921" s="143">
        <f>$H$26</f>
        <v>3.8</v>
      </c>
      <c r="I921" s="17">
        <f t="shared" si="280"/>
        <v>3.92325</v>
      </c>
      <c r="J921" s="18">
        <f t="shared" si="281"/>
        <v>43.16</v>
      </c>
      <c r="K921" s="19">
        <f t="shared" si="282"/>
        <v>927.55</v>
      </c>
      <c r="L921" s="135"/>
      <c r="M921" s="139"/>
      <c r="N921" s="139"/>
      <c r="O921" s="139"/>
      <c r="P921" s="37">
        <f t="shared" si="283"/>
        <v>39.2325</v>
      </c>
      <c r="Q921" s="99">
        <f>$Q$26</f>
        <v>22.75</v>
      </c>
      <c r="R921" s="163">
        <f>$R$26</f>
        <v>0.03</v>
      </c>
      <c r="S921" s="99">
        <f>$S$26</f>
        <v>12</v>
      </c>
      <c r="T921" s="99">
        <f>$T$26</f>
        <v>3.5</v>
      </c>
      <c r="U921" s="99">
        <f>$U$26</f>
        <v>0.3</v>
      </c>
      <c r="V921" s="37">
        <f t="shared" si="284"/>
        <v>843.1456575</v>
      </c>
      <c r="W921" s="139"/>
      <c r="X921" s="139"/>
      <c r="Y921" s="139"/>
      <c r="Z921" s="139"/>
      <c r="AA921" s="139"/>
      <c r="AB921" s="139"/>
      <c r="AC921" s="139"/>
      <c r="AD921" s="139"/>
      <c r="AE921" s="139"/>
      <c r="AF921" s="140"/>
      <c r="AG921" s="140"/>
      <c r="AH921" s="140"/>
      <c r="AI921" s="140"/>
      <c r="AJ921" s="140"/>
      <c r="AK921" s="140"/>
      <c r="AL921" s="140"/>
      <c r="AM921" s="140"/>
      <c r="AN921" s="140"/>
      <c r="AO921" s="140"/>
      <c r="AP921" s="140"/>
      <c r="AQ921" s="140"/>
      <c r="AR921" s="140"/>
      <c r="AS921" s="140"/>
      <c r="AT921" s="140"/>
      <c r="AU921" s="140"/>
      <c r="AV921" s="140"/>
      <c r="AW921" s="140"/>
      <c r="AX921" s="140"/>
      <c r="AY921" s="140"/>
      <c r="AZ921" s="140"/>
      <c r="BA921" s="140"/>
      <c r="BB921" s="140"/>
      <c r="BC921" s="140"/>
      <c r="BD921" s="140"/>
      <c r="BE921" s="140"/>
    </row>
    <row r="922" s="119" customFormat="1" ht="60" customHeight="1" outlineLevel="2" spans="1:57">
      <c r="A922" s="162">
        <f t="shared" si="279"/>
        <v>5</v>
      </c>
      <c r="B922" s="14" t="s">
        <v>239</v>
      </c>
      <c r="C922" s="15" t="s">
        <v>240</v>
      </c>
      <c r="D922" s="142" t="s">
        <v>63</v>
      </c>
      <c r="E922" s="143">
        <f>+(2.05+3.4-1)*2*2*0.095</f>
        <v>1.691</v>
      </c>
      <c r="F922" s="143">
        <f>$F$356</f>
        <v>110</v>
      </c>
      <c r="G922" s="143">
        <f>$G$356</f>
        <v>454.5</v>
      </c>
      <c r="H922" s="143">
        <f>$H$356</f>
        <v>55.2</v>
      </c>
      <c r="I922" s="17">
        <f t="shared" si="280"/>
        <v>61.97</v>
      </c>
      <c r="J922" s="18">
        <f t="shared" si="281"/>
        <v>681.67</v>
      </c>
      <c r="K922" s="19">
        <f t="shared" si="282"/>
        <v>1152.7</v>
      </c>
      <c r="L922" s="135"/>
      <c r="M922" s="139"/>
      <c r="N922" s="139"/>
      <c r="O922" s="139"/>
      <c r="P922" s="37">
        <f t="shared" si="283"/>
        <v>619.7</v>
      </c>
      <c r="Q922" s="99">
        <f>$Q$356</f>
        <v>450</v>
      </c>
      <c r="R922" s="163">
        <f>$R$356</f>
        <v>0.01</v>
      </c>
      <c r="S922" s="99">
        <f>$S$356</f>
        <v>110</v>
      </c>
      <c r="T922" s="99">
        <f>$T$356</f>
        <v>54</v>
      </c>
      <c r="U922" s="99">
        <f>$U$356</f>
        <v>1.2</v>
      </c>
      <c r="V922" s="37">
        <f t="shared" si="284"/>
        <v>1047.9127</v>
      </c>
      <c r="W922" s="139"/>
      <c r="X922" s="139"/>
      <c r="Y922" s="139"/>
      <c r="Z922" s="139"/>
      <c r="AA922" s="139"/>
      <c r="AB922" s="139"/>
      <c r="AC922" s="139"/>
      <c r="AD922" s="139"/>
      <c r="AE922" s="139"/>
      <c r="AF922" s="140"/>
      <c r="AG922" s="140"/>
      <c r="AH922" s="140"/>
      <c r="AI922" s="140"/>
      <c r="AJ922" s="140"/>
      <c r="AK922" s="140"/>
      <c r="AL922" s="140"/>
      <c r="AM922" s="140"/>
      <c r="AN922" s="140"/>
      <c r="AO922" s="140"/>
      <c r="AP922" s="140"/>
      <c r="AQ922" s="140"/>
      <c r="AR922" s="140"/>
      <c r="AS922" s="140"/>
      <c r="AT922" s="140"/>
      <c r="AU922" s="140"/>
      <c r="AV922" s="140"/>
      <c r="AW922" s="140"/>
      <c r="AX922" s="140"/>
      <c r="AY922" s="140"/>
      <c r="AZ922" s="140"/>
      <c r="BA922" s="140"/>
      <c r="BB922" s="140"/>
      <c r="BC922" s="140"/>
      <c r="BD922" s="140"/>
      <c r="BE922" s="140"/>
    </row>
    <row r="923" s="119" customFormat="1" ht="60" customHeight="1" outlineLevel="2" spans="1:57">
      <c r="A923" s="162">
        <f t="shared" si="279"/>
        <v>6</v>
      </c>
      <c r="B923" s="14" t="s">
        <v>82</v>
      </c>
      <c r="C923" s="15" t="s">
        <v>83</v>
      </c>
      <c r="D923" s="142" t="s">
        <v>63</v>
      </c>
      <c r="E923" s="143">
        <f>0.42*2*3.2+(0.425+0.193+0.04)*3.82+0.23*2*3.2+0.21*0.95</f>
        <v>6.87306</v>
      </c>
      <c r="F923" s="143">
        <f>$F$17</f>
        <v>110</v>
      </c>
      <c r="G923" s="143">
        <f>$G$17</f>
        <v>454.5</v>
      </c>
      <c r="H923" s="143">
        <f>$H$17</f>
        <v>55.2</v>
      </c>
      <c r="I923" s="17">
        <f t="shared" si="280"/>
        <v>61.97</v>
      </c>
      <c r="J923" s="18">
        <f t="shared" si="281"/>
        <v>681.67</v>
      </c>
      <c r="K923" s="19">
        <f t="shared" si="282"/>
        <v>4685.16</v>
      </c>
      <c r="L923" s="135"/>
      <c r="M923" s="139"/>
      <c r="N923" s="139"/>
      <c r="O923" s="139"/>
      <c r="P923" s="37">
        <f t="shared" si="283"/>
        <v>619.7</v>
      </c>
      <c r="Q923" s="99">
        <f>$Q$17</f>
        <v>450</v>
      </c>
      <c r="R923" s="163">
        <f>$R$17</f>
        <v>0.01</v>
      </c>
      <c r="S923" s="99">
        <f>$S$17</f>
        <v>110</v>
      </c>
      <c r="T923" s="99">
        <f>$T$17</f>
        <v>54</v>
      </c>
      <c r="U923" s="99">
        <f>$U$17</f>
        <v>1.2</v>
      </c>
      <c r="V923" s="37">
        <f t="shared" si="284"/>
        <v>4259.235282</v>
      </c>
      <c r="W923" s="139"/>
      <c r="X923" s="139"/>
      <c r="Y923" s="139"/>
      <c r="Z923" s="139"/>
      <c r="AA923" s="139"/>
      <c r="AB923" s="139"/>
      <c r="AC923" s="139"/>
      <c r="AD923" s="139"/>
      <c r="AE923" s="139"/>
      <c r="AF923" s="140"/>
      <c r="AG923" s="140"/>
      <c r="AH923" s="140"/>
      <c r="AI923" s="140"/>
      <c r="AJ923" s="140"/>
      <c r="AK923" s="140"/>
      <c r="AL923" s="140"/>
      <c r="AM923" s="140"/>
      <c r="AN923" s="140"/>
      <c r="AO923" s="140"/>
      <c r="AP923" s="140"/>
      <c r="AQ923" s="140"/>
      <c r="AR923" s="140"/>
      <c r="AS923" s="140"/>
      <c r="AT923" s="140"/>
      <c r="AU923" s="140"/>
      <c r="AV923" s="140"/>
      <c r="AW923" s="140"/>
      <c r="AX923" s="140"/>
      <c r="AY923" s="140"/>
      <c r="AZ923" s="140"/>
      <c r="BA923" s="140"/>
      <c r="BB923" s="140"/>
      <c r="BC923" s="140"/>
      <c r="BD923" s="140"/>
      <c r="BE923" s="140"/>
    </row>
    <row r="924" s="119" customFormat="1" ht="24" customHeight="1" outlineLevel="1" spans="1:57">
      <c r="A924" s="141"/>
      <c r="B924" s="14" t="s">
        <v>101</v>
      </c>
      <c r="C924" s="15"/>
      <c r="D924" s="142"/>
      <c r="E924" s="143"/>
      <c r="F924" s="143"/>
      <c r="G924" s="143"/>
      <c r="H924" s="143"/>
      <c r="I924" s="143"/>
      <c r="J924" s="143"/>
      <c r="K924" s="144"/>
      <c r="L924" s="135"/>
      <c r="M924" s="139"/>
      <c r="N924" s="139"/>
      <c r="O924" s="139"/>
      <c r="P924" s="137"/>
      <c r="Q924" s="137"/>
      <c r="R924" s="138"/>
      <c r="S924" s="137"/>
      <c r="T924" s="137"/>
      <c r="U924" s="137"/>
      <c r="V924" s="137"/>
      <c r="W924" s="139"/>
      <c r="X924" s="139"/>
      <c r="Y924" s="139"/>
      <c r="Z924" s="139"/>
      <c r="AA924" s="139"/>
      <c r="AB924" s="139"/>
      <c r="AC924" s="139"/>
      <c r="AD924" s="139"/>
      <c r="AE924" s="139"/>
      <c r="AF924" s="140"/>
      <c r="AG924" s="140"/>
      <c r="AH924" s="140"/>
      <c r="AI924" s="140"/>
      <c r="AJ924" s="140"/>
      <c r="AK924" s="140"/>
      <c r="AL924" s="140"/>
      <c r="AM924" s="140"/>
      <c r="AN924" s="140"/>
      <c r="AO924" s="140"/>
      <c r="AP924" s="140"/>
      <c r="AQ924" s="140"/>
      <c r="AR924" s="140"/>
      <c r="AS924" s="140"/>
      <c r="AT924" s="140"/>
      <c r="AU924" s="140"/>
      <c r="AV924" s="140"/>
      <c r="AW924" s="140"/>
      <c r="AX924" s="140"/>
      <c r="AY924" s="140"/>
      <c r="AZ924" s="140"/>
      <c r="BA924" s="140"/>
      <c r="BB924" s="140"/>
      <c r="BC924" s="140"/>
      <c r="BD924" s="140"/>
      <c r="BE924" s="140"/>
    </row>
    <row r="925" s="119" customFormat="1" ht="96" customHeight="1" outlineLevel="2" spans="1:57">
      <c r="A925" s="145">
        <f t="shared" ref="A925:A930" si="285">1+N(A924)</f>
        <v>1</v>
      </c>
      <c r="B925" s="146" t="s">
        <v>277</v>
      </c>
      <c r="C925" s="161" t="s">
        <v>103</v>
      </c>
      <c r="D925" s="148" t="s">
        <v>63</v>
      </c>
      <c r="E925" s="149">
        <v>39.673</v>
      </c>
      <c r="F925" s="149">
        <f>S925*$S$1</f>
        <v>150</v>
      </c>
      <c r="G925" s="149">
        <f>Q925*(1+R925)*$Q$1</f>
        <v>0</v>
      </c>
      <c r="H925" s="149">
        <f>(T925+U925)*$T$1</f>
        <v>80.853</v>
      </c>
      <c r="I925" s="150">
        <f t="shared" ref="I925:I930" si="286">(F925+G925+H925)*$I$3</f>
        <v>23.0853</v>
      </c>
      <c r="J925" s="151">
        <f t="shared" ref="J925:J930" si="287">ROUND(SUM(F925:I925),2)</f>
        <v>253.94</v>
      </c>
      <c r="K925" s="152">
        <f t="shared" ref="K925:K930" si="288">ROUND(J925*E925,2)</f>
        <v>10074.56</v>
      </c>
      <c r="L925" s="153"/>
      <c r="M925" s="139"/>
      <c r="N925" s="139"/>
      <c r="O925" s="139"/>
      <c r="P925" s="37">
        <f t="shared" ref="P925:P930" si="289">Q925+Q925*R925+S925+T925+U925</f>
        <v>230.853</v>
      </c>
      <c r="Q925" s="77">
        <v>0</v>
      </c>
      <c r="R925" s="186">
        <v>0.01</v>
      </c>
      <c r="S925" s="77">
        <v>150</v>
      </c>
      <c r="T925" s="77">
        <f>(3.3*3.7+1.1*4.7+1.5+6*0.23+1*0.75+1*0.13+80*0.04+1*2.8)*1.45+10*2*1.45+10.5</f>
        <v>78.853</v>
      </c>
      <c r="U925" s="169">
        <v>2</v>
      </c>
      <c r="V925" s="37">
        <f t="shared" ref="V925:V930" si="290">P925*E925</f>
        <v>9158.631069</v>
      </c>
      <c r="W925" s="139"/>
      <c r="X925" s="139"/>
      <c r="Y925" s="139"/>
      <c r="Z925" s="139"/>
      <c r="AA925" s="139"/>
      <c r="AB925" s="139"/>
      <c r="AC925" s="139"/>
      <c r="AD925" s="139"/>
      <c r="AE925" s="139"/>
      <c r="AF925" s="140"/>
      <c r="AG925" s="140"/>
      <c r="AH925" s="140"/>
      <c r="AI925" s="140"/>
      <c r="AJ925" s="140"/>
      <c r="AK925" s="140"/>
      <c r="AL925" s="140"/>
      <c r="AM925" s="140"/>
      <c r="AN925" s="140"/>
      <c r="AO925" s="140"/>
      <c r="AP925" s="140"/>
      <c r="AQ925" s="140"/>
      <c r="AR925" s="140"/>
      <c r="AS925" s="140"/>
      <c r="AT925" s="140"/>
      <c r="AU925" s="140"/>
      <c r="AV925" s="140"/>
      <c r="AW925" s="140"/>
      <c r="AX925" s="140"/>
      <c r="AY925" s="140"/>
      <c r="AZ925" s="140"/>
      <c r="BA925" s="140"/>
      <c r="BB925" s="140"/>
      <c r="BC925" s="140"/>
      <c r="BD925" s="140"/>
      <c r="BE925" s="140"/>
    </row>
    <row r="926" s="119" customFormat="1" ht="72" customHeight="1" outlineLevel="2" spans="1:57">
      <c r="A926" s="145">
        <f t="shared" si="285"/>
        <v>2</v>
      </c>
      <c r="B926" s="146" t="s">
        <v>435</v>
      </c>
      <c r="C926" s="161" t="s">
        <v>436</v>
      </c>
      <c r="D926" s="148" t="s">
        <v>70</v>
      </c>
      <c r="E926" s="149">
        <v>51.08</v>
      </c>
      <c r="F926" s="149">
        <f>S926*$S$1</f>
        <v>50</v>
      </c>
      <c r="G926" s="149">
        <f>Q926*(1+R926)*$Q$1</f>
        <v>0</v>
      </c>
      <c r="H926" s="149">
        <f>(T926+U926)*$T$1</f>
        <v>22.0941</v>
      </c>
      <c r="I926" s="150">
        <f t="shared" si="286"/>
        <v>7.20941</v>
      </c>
      <c r="J926" s="151">
        <f t="shared" si="287"/>
        <v>79.3</v>
      </c>
      <c r="K926" s="152">
        <f t="shared" si="288"/>
        <v>4050.64</v>
      </c>
      <c r="L926" s="153"/>
      <c r="M926" s="139"/>
      <c r="N926" s="139"/>
      <c r="O926" s="139"/>
      <c r="P926" s="37">
        <f t="shared" si="289"/>
        <v>72.0941</v>
      </c>
      <c r="Q926" s="74">
        <v>0</v>
      </c>
      <c r="R926" s="75">
        <v>0.01</v>
      </c>
      <c r="S926" s="74">
        <v>50</v>
      </c>
      <c r="T926" s="77">
        <f>(3.3*3.7+1.1*4.7+1.5+6*0.23+1*0.75+1*0.13+80*0.04+1*2.8)*0.3*1.05+(33+10)*0.3*1.05</f>
        <v>22.0941</v>
      </c>
      <c r="U926" s="187">
        <v>0</v>
      </c>
      <c r="V926" s="37">
        <f t="shared" si="290"/>
        <v>3682.566628</v>
      </c>
      <c r="W926" s="139"/>
      <c r="X926" s="139"/>
      <c r="Y926" s="139"/>
      <c r="Z926" s="139"/>
      <c r="AA926" s="139"/>
      <c r="AB926" s="139"/>
      <c r="AC926" s="139"/>
      <c r="AD926" s="139"/>
      <c r="AE926" s="139"/>
      <c r="AF926" s="140"/>
      <c r="AG926" s="140"/>
      <c r="AH926" s="140"/>
      <c r="AI926" s="140"/>
      <c r="AJ926" s="140"/>
      <c r="AK926" s="140"/>
      <c r="AL926" s="140"/>
      <c r="AM926" s="140"/>
      <c r="AN926" s="140"/>
      <c r="AO926" s="140"/>
      <c r="AP926" s="140"/>
      <c r="AQ926" s="140"/>
      <c r="AR926" s="140"/>
      <c r="AS926" s="140"/>
      <c r="AT926" s="140"/>
      <c r="AU926" s="140"/>
      <c r="AV926" s="140"/>
      <c r="AW926" s="140"/>
      <c r="AX926" s="140"/>
      <c r="AY926" s="140"/>
      <c r="AZ926" s="140"/>
      <c r="BA926" s="140"/>
      <c r="BB926" s="140"/>
      <c r="BC926" s="140"/>
      <c r="BD926" s="140"/>
      <c r="BE926" s="140"/>
    </row>
    <row r="927" s="119" customFormat="1" ht="72" customHeight="1" outlineLevel="2" spans="1:57">
      <c r="A927" s="145">
        <f t="shared" si="285"/>
        <v>3</v>
      </c>
      <c r="B927" s="146" t="s">
        <v>106</v>
      </c>
      <c r="C927" s="147" t="s">
        <v>437</v>
      </c>
      <c r="D927" s="148" t="s">
        <v>70</v>
      </c>
      <c r="E927" s="149">
        <v>51.08</v>
      </c>
      <c r="F927" s="149">
        <f>S927*$S$1</f>
        <v>18</v>
      </c>
      <c r="G927" s="149">
        <f>Q927*(1+R927)*$Q$1</f>
        <v>163.255</v>
      </c>
      <c r="H927" s="149">
        <f>(T927+U927)*$T$1</f>
        <v>3.8</v>
      </c>
      <c r="I927" s="150">
        <f t="shared" si="286"/>
        <v>18.5055</v>
      </c>
      <c r="J927" s="151">
        <f t="shared" si="287"/>
        <v>203.56</v>
      </c>
      <c r="K927" s="152">
        <f t="shared" si="288"/>
        <v>10397.84</v>
      </c>
      <c r="L927" s="153"/>
      <c r="M927" s="139"/>
      <c r="N927" s="139"/>
      <c r="O927" s="139"/>
      <c r="P927" s="37">
        <f t="shared" si="289"/>
        <v>185.055</v>
      </c>
      <c r="Q927" s="71">
        <v>158.5</v>
      </c>
      <c r="R927" s="157">
        <v>0.03</v>
      </c>
      <c r="S927" s="71">
        <v>18</v>
      </c>
      <c r="T927" s="71">
        <v>3.5</v>
      </c>
      <c r="U927" s="71">
        <v>0.3</v>
      </c>
      <c r="V927" s="37">
        <f t="shared" si="290"/>
        <v>9452.6094</v>
      </c>
      <c r="W927" s="139"/>
      <c r="X927" s="139"/>
      <c r="Y927" s="139"/>
      <c r="Z927" s="139"/>
      <c r="AA927" s="139"/>
      <c r="AB927" s="139"/>
      <c r="AC927" s="139"/>
      <c r="AD927" s="139"/>
      <c r="AE927" s="139"/>
      <c r="AF927" s="140"/>
      <c r="AG927" s="140"/>
      <c r="AH927" s="140"/>
      <c r="AI927" s="140"/>
      <c r="AJ927" s="140"/>
      <c r="AK927" s="140"/>
      <c r="AL927" s="140"/>
      <c r="AM927" s="140"/>
      <c r="AN927" s="140"/>
      <c r="AO927" s="140"/>
      <c r="AP927" s="140"/>
      <c r="AQ927" s="140"/>
      <c r="AR927" s="140"/>
      <c r="AS927" s="140"/>
      <c r="AT927" s="140"/>
      <c r="AU927" s="140"/>
      <c r="AV927" s="140"/>
      <c r="AW927" s="140"/>
      <c r="AX927" s="140"/>
      <c r="AY927" s="140"/>
      <c r="AZ927" s="140"/>
      <c r="BA927" s="140"/>
      <c r="BB927" s="140"/>
      <c r="BC927" s="140"/>
      <c r="BD927" s="140"/>
      <c r="BE927" s="140"/>
    </row>
    <row r="928" s="119" customFormat="1" ht="72" customHeight="1" outlineLevel="2" spans="1:57">
      <c r="A928" s="145">
        <f t="shared" si="285"/>
        <v>4</v>
      </c>
      <c r="B928" s="146" t="s">
        <v>438</v>
      </c>
      <c r="C928" s="147" t="s">
        <v>439</v>
      </c>
      <c r="D928" s="148" t="s">
        <v>70</v>
      </c>
      <c r="E928" s="149">
        <v>4.525</v>
      </c>
      <c r="F928" s="149">
        <f>S928*$S$1</f>
        <v>55</v>
      </c>
      <c r="G928" s="149">
        <f>Q928*(1+R928)*$Q$1</f>
        <v>0</v>
      </c>
      <c r="H928" s="149">
        <f>(T928+U928)*$T$1</f>
        <v>29.6688</v>
      </c>
      <c r="I928" s="150">
        <f t="shared" si="286"/>
        <v>8.46688</v>
      </c>
      <c r="J928" s="151">
        <f t="shared" si="287"/>
        <v>93.14</v>
      </c>
      <c r="K928" s="152">
        <f t="shared" si="288"/>
        <v>421.46</v>
      </c>
      <c r="L928" s="153"/>
      <c r="M928" s="139"/>
      <c r="N928" s="139"/>
      <c r="O928" s="139"/>
      <c r="P928" s="37">
        <f t="shared" si="289"/>
        <v>84.6688</v>
      </c>
      <c r="Q928" s="74">
        <v>0</v>
      </c>
      <c r="R928" s="75">
        <v>0.01</v>
      </c>
      <c r="S928" s="74">
        <v>55</v>
      </c>
      <c r="T928" s="77">
        <f>(3.3*3.7+1.1*4.7+1.5+6*0.23+1*0.75+1*0.13+80*0.04+1*2.8)*0.4*1.05+(33+10.5)*0.4*1.05</f>
        <v>29.6688</v>
      </c>
      <c r="U928" s="187">
        <v>0</v>
      </c>
      <c r="V928" s="37">
        <f t="shared" si="290"/>
        <v>383.12632</v>
      </c>
      <c r="W928" s="139"/>
      <c r="X928" s="139"/>
      <c r="Y928" s="139"/>
      <c r="Z928" s="139"/>
      <c r="AA928" s="139"/>
      <c r="AB928" s="139"/>
      <c r="AC928" s="139"/>
      <c r="AD928" s="139"/>
      <c r="AE928" s="139"/>
      <c r="AF928" s="140"/>
      <c r="AG928" s="140"/>
      <c r="AH928" s="140"/>
      <c r="AI928" s="140"/>
      <c r="AJ928" s="140"/>
      <c r="AK928" s="140"/>
      <c r="AL928" s="140"/>
      <c r="AM928" s="140"/>
      <c r="AN928" s="140"/>
      <c r="AO928" s="140"/>
      <c r="AP928" s="140"/>
      <c r="AQ928" s="140"/>
      <c r="AR928" s="140"/>
      <c r="AS928" s="140"/>
      <c r="AT928" s="140"/>
      <c r="AU928" s="140"/>
      <c r="AV928" s="140"/>
      <c r="AW928" s="140"/>
      <c r="AX928" s="140"/>
      <c r="AY928" s="140"/>
      <c r="AZ928" s="140"/>
      <c r="BA928" s="140"/>
      <c r="BB928" s="140"/>
      <c r="BC928" s="140"/>
      <c r="BD928" s="140"/>
      <c r="BE928" s="140"/>
    </row>
    <row r="929" s="119" customFormat="1" ht="72" customHeight="1" outlineLevel="2" spans="1:57">
      <c r="A929" s="162">
        <f t="shared" si="285"/>
        <v>5</v>
      </c>
      <c r="B929" s="14" t="s">
        <v>108</v>
      </c>
      <c r="C929" s="15" t="s">
        <v>109</v>
      </c>
      <c r="D929" s="142" t="s">
        <v>70</v>
      </c>
      <c r="E929" s="143">
        <f>7.27+5.42</f>
        <v>12.69</v>
      </c>
      <c r="F929" s="143">
        <f>$F$31</f>
        <v>30</v>
      </c>
      <c r="G929" s="143">
        <f>$G$31</f>
        <v>65.6625</v>
      </c>
      <c r="H929" s="143">
        <f>$H$31</f>
        <v>2.7</v>
      </c>
      <c r="I929" s="17">
        <f t="shared" si="286"/>
        <v>9.83625</v>
      </c>
      <c r="J929" s="18">
        <f t="shared" si="287"/>
        <v>108.2</v>
      </c>
      <c r="K929" s="19">
        <f t="shared" si="288"/>
        <v>1373.06</v>
      </c>
      <c r="L929" s="135"/>
      <c r="M929" s="139"/>
      <c r="N929" s="139"/>
      <c r="O929" s="139"/>
      <c r="P929" s="37">
        <f t="shared" si="289"/>
        <v>98.3625</v>
      </c>
      <c r="Q929" s="99">
        <f>$Q$31</f>
        <v>63.75</v>
      </c>
      <c r="R929" s="163">
        <f>$R$31</f>
        <v>0.03</v>
      </c>
      <c r="S929" s="99">
        <f>$S$31</f>
        <v>30</v>
      </c>
      <c r="T929" s="99">
        <f>$T$31</f>
        <v>2.5</v>
      </c>
      <c r="U929" s="99">
        <f>$U$31</f>
        <v>0.2</v>
      </c>
      <c r="V929" s="37">
        <f t="shared" si="290"/>
        <v>1248.220125</v>
      </c>
      <c r="W929" s="139"/>
      <c r="X929" s="139"/>
      <c r="Y929" s="139"/>
      <c r="Z929" s="139"/>
      <c r="AA929" s="139"/>
      <c r="AB929" s="139"/>
      <c r="AC929" s="139"/>
      <c r="AD929" s="139"/>
      <c r="AE929" s="139"/>
      <c r="AF929" s="140"/>
      <c r="AG929" s="140"/>
      <c r="AH929" s="140"/>
      <c r="AI929" s="140"/>
      <c r="AJ929" s="140"/>
      <c r="AK929" s="140"/>
      <c r="AL929" s="140"/>
      <c r="AM929" s="140"/>
      <c r="AN929" s="140"/>
      <c r="AO929" s="140"/>
      <c r="AP929" s="140"/>
      <c r="AQ929" s="140"/>
      <c r="AR929" s="140"/>
      <c r="AS929" s="140"/>
      <c r="AT929" s="140"/>
      <c r="AU929" s="140"/>
      <c r="AV929" s="140"/>
      <c r="AW929" s="140"/>
      <c r="AX929" s="140"/>
      <c r="AY929" s="140"/>
      <c r="AZ929" s="140"/>
      <c r="BA929" s="140"/>
      <c r="BB929" s="140"/>
      <c r="BC929" s="140"/>
      <c r="BD929" s="140"/>
      <c r="BE929" s="140"/>
    </row>
    <row r="930" s="119" customFormat="1" ht="72" customHeight="1" outlineLevel="2" spans="1:57">
      <c r="A930" s="162">
        <f t="shared" si="285"/>
        <v>6</v>
      </c>
      <c r="B930" s="14" t="s">
        <v>110</v>
      </c>
      <c r="C930" s="15" t="s">
        <v>111</v>
      </c>
      <c r="D930" s="142" t="s">
        <v>63</v>
      </c>
      <c r="E930" s="143">
        <f>57.767+E928*(0.1+0.2)</f>
        <v>59.1245</v>
      </c>
      <c r="F930" s="143">
        <f>$F$32</f>
        <v>45</v>
      </c>
      <c r="G930" s="143">
        <f>$G$32</f>
        <v>85.5</v>
      </c>
      <c r="H930" s="143">
        <f>$H$32</f>
        <v>7.3</v>
      </c>
      <c r="I930" s="17">
        <f t="shared" si="286"/>
        <v>13.78</v>
      </c>
      <c r="J930" s="18">
        <f t="shared" si="287"/>
        <v>151.58</v>
      </c>
      <c r="K930" s="19">
        <f t="shared" si="288"/>
        <v>8962.09</v>
      </c>
      <c r="L930" s="135"/>
      <c r="M930" s="139"/>
      <c r="N930" s="139"/>
      <c r="O930" s="139"/>
      <c r="P930" s="37">
        <f t="shared" si="289"/>
        <v>137.8</v>
      </c>
      <c r="Q930" s="99">
        <f>$Q$32</f>
        <v>85.5</v>
      </c>
      <c r="R930" s="163">
        <f>$R$32</f>
        <v>0</v>
      </c>
      <c r="S930" s="99">
        <f>$S$32</f>
        <v>45</v>
      </c>
      <c r="T930" s="99">
        <f>$T$32</f>
        <v>6.5</v>
      </c>
      <c r="U930" s="99">
        <f>$U$32</f>
        <v>0.8</v>
      </c>
      <c r="V930" s="37">
        <f t="shared" si="290"/>
        <v>8147.3561</v>
      </c>
      <c r="W930" s="139"/>
      <c r="X930" s="139"/>
      <c r="Y930" s="139"/>
      <c r="Z930" s="139"/>
      <c r="AA930" s="139"/>
      <c r="AB930" s="139"/>
      <c r="AC930" s="139"/>
      <c r="AD930" s="139"/>
      <c r="AE930" s="139"/>
      <c r="AF930" s="140"/>
      <c r="AG930" s="140"/>
      <c r="AH930" s="140"/>
      <c r="AI930" s="140"/>
      <c r="AJ930" s="140"/>
      <c r="AK930" s="140"/>
      <c r="AL930" s="140"/>
      <c r="AM930" s="140"/>
      <c r="AN930" s="140"/>
      <c r="AO930" s="140"/>
      <c r="AP930" s="140"/>
      <c r="AQ930" s="140"/>
      <c r="AR930" s="140"/>
      <c r="AS930" s="140"/>
      <c r="AT930" s="140"/>
      <c r="AU930" s="140"/>
      <c r="AV930" s="140"/>
      <c r="AW930" s="140"/>
      <c r="AX930" s="140"/>
      <c r="AY930" s="140"/>
      <c r="AZ930" s="140"/>
      <c r="BA930" s="140"/>
      <c r="BB930" s="140"/>
      <c r="BC930" s="140"/>
      <c r="BD930" s="140"/>
      <c r="BE930" s="140"/>
    </row>
    <row r="931" s="119" customFormat="1" ht="24" customHeight="1" outlineLevel="1" spans="1:57">
      <c r="A931" s="141"/>
      <c r="B931" s="14" t="s">
        <v>112</v>
      </c>
      <c r="C931" s="15"/>
      <c r="D931" s="142"/>
      <c r="E931" s="143"/>
      <c r="F931" s="143"/>
      <c r="G931" s="143"/>
      <c r="H931" s="143"/>
      <c r="I931" s="143"/>
      <c r="J931" s="143"/>
      <c r="K931" s="144"/>
      <c r="L931" s="135"/>
      <c r="M931" s="139"/>
      <c r="N931" s="139"/>
      <c r="O931" s="139"/>
      <c r="P931" s="137"/>
      <c r="Q931" s="137"/>
      <c r="R931" s="138"/>
      <c r="S931" s="137"/>
      <c r="T931" s="137"/>
      <c r="U931" s="137"/>
      <c r="V931" s="137"/>
      <c r="W931" s="139"/>
      <c r="X931" s="139"/>
      <c r="Y931" s="139"/>
      <c r="Z931" s="139"/>
      <c r="AA931" s="139"/>
      <c r="AB931" s="139"/>
      <c r="AC931" s="139"/>
      <c r="AD931" s="139"/>
      <c r="AE931" s="139"/>
      <c r="AF931" s="140"/>
      <c r="AG931" s="140"/>
      <c r="AH931" s="140"/>
      <c r="AI931" s="140"/>
      <c r="AJ931" s="140"/>
      <c r="AK931" s="140"/>
      <c r="AL931" s="140"/>
      <c r="AM931" s="140"/>
      <c r="AN931" s="140"/>
      <c r="AO931" s="140"/>
      <c r="AP931" s="140"/>
      <c r="AQ931" s="140"/>
      <c r="AR931" s="140"/>
      <c r="AS931" s="140"/>
      <c r="AT931" s="140"/>
      <c r="AU931" s="140"/>
      <c r="AV931" s="140"/>
      <c r="AW931" s="140"/>
      <c r="AX931" s="140"/>
      <c r="AY931" s="140"/>
      <c r="AZ931" s="140"/>
      <c r="BA931" s="140"/>
      <c r="BB931" s="140"/>
      <c r="BC931" s="140"/>
      <c r="BD931" s="140"/>
      <c r="BE931" s="140"/>
    </row>
    <row r="932" s="119" customFormat="1" ht="60" customHeight="1" outlineLevel="2" spans="1:57">
      <c r="A932" s="145">
        <f>1+N(A931)</f>
        <v>1</v>
      </c>
      <c r="B932" s="146" t="s">
        <v>440</v>
      </c>
      <c r="C932" s="147" t="s">
        <v>330</v>
      </c>
      <c r="D932" s="148" t="s">
        <v>63</v>
      </c>
      <c r="E932" s="149">
        <f>0.9*3.185</f>
        <v>2.8665</v>
      </c>
      <c r="F932" s="149">
        <f>S932*$S$1</f>
        <v>145</v>
      </c>
      <c r="G932" s="149">
        <f>Q932*(1+R932)*$Q$1</f>
        <v>2150</v>
      </c>
      <c r="H932" s="149">
        <f>(T932+U932)*$T$1</f>
        <v>31.5</v>
      </c>
      <c r="I932" s="150">
        <f>(F932+G932+H932)*$I$3</f>
        <v>232.65</v>
      </c>
      <c r="J932" s="151">
        <f>ROUND(SUM(F932:I932),2)</f>
        <v>2559.15</v>
      </c>
      <c r="K932" s="152">
        <f>ROUND(J932*E932,2)</f>
        <v>7335.8</v>
      </c>
      <c r="L932" s="153"/>
      <c r="M932" s="139"/>
      <c r="N932" s="139"/>
      <c r="O932" s="188" t="str">
        <f>_xlfn.DISPIMG("ID_021955E0AB6F46708C9CE52A16C77F8A",1)</f>
        <v>=DISPIMG("ID_021955E0AB6F46708C9CE52A16C77F8A",1)</v>
      </c>
      <c r="P932" s="37">
        <f>Q932+Q932*R932+S932+T932+U932</f>
        <v>2326.5</v>
      </c>
      <c r="Q932" s="71">
        <v>2150</v>
      </c>
      <c r="R932" s="157">
        <v>0</v>
      </c>
      <c r="S932" s="71">
        <v>145</v>
      </c>
      <c r="T932" s="71">
        <v>30</v>
      </c>
      <c r="U932" s="71">
        <v>1.5</v>
      </c>
      <c r="V932" s="37">
        <f>P932*E932</f>
        <v>6668.91225</v>
      </c>
      <c r="W932" s="139"/>
      <c r="X932" s="139"/>
      <c r="Y932" s="139"/>
      <c r="Z932" s="139"/>
      <c r="AA932" s="139"/>
      <c r="AB932" s="139"/>
      <c r="AC932" s="139"/>
      <c r="AD932" s="139"/>
      <c r="AE932" s="139"/>
      <c r="AF932" s="140"/>
      <c r="AG932" s="140"/>
      <c r="AH932" s="140"/>
      <c r="AI932" s="140"/>
      <c r="AJ932" s="140"/>
      <c r="AK932" s="140"/>
      <c r="AL932" s="140"/>
      <c r="AM932" s="140"/>
      <c r="AN932" s="140"/>
      <c r="AO932" s="140"/>
      <c r="AP932" s="140"/>
      <c r="AQ932" s="140"/>
      <c r="AR932" s="140"/>
      <c r="AS932" s="140"/>
      <c r="AT932" s="140"/>
      <c r="AU932" s="140"/>
      <c r="AV932" s="140"/>
      <c r="AW932" s="140"/>
      <c r="AX932" s="140"/>
      <c r="AY932" s="140"/>
      <c r="AZ932" s="140"/>
      <c r="BA932" s="140"/>
      <c r="BB932" s="140"/>
      <c r="BC932" s="140"/>
      <c r="BD932" s="140"/>
      <c r="BE932" s="140"/>
    </row>
    <row r="933" s="119" customFormat="1" ht="51" customHeight="1" outlineLevel="2" spans="1:57">
      <c r="A933" s="145">
        <f>1+N(A932)</f>
        <v>2</v>
      </c>
      <c r="B933" s="146" t="s">
        <v>441</v>
      </c>
      <c r="C933" s="147" t="s">
        <v>442</v>
      </c>
      <c r="D933" s="148" t="s">
        <v>63</v>
      </c>
      <c r="E933" s="149">
        <f>2.92*3.185</f>
        <v>9.3002</v>
      </c>
      <c r="F933" s="149">
        <f>S933*$S$1</f>
        <v>110</v>
      </c>
      <c r="G933" s="149">
        <f>Q933*(1+R933)*$Q$1</f>
        <v>1550</v>
      </c>
      <c r="H933" s="149">
        <f>(T933+U933)*$T$1</f>
        <v>14</v>
      </c>
      <c r="I933" s="150">
        <f>(F933+G933+H933)*$I$3</f>
        <v>167.4</v>
      </c>
      <c r="J933" s="151">
        <f>ROUND(SUM(F933:I933),2)</f>
        <v>1841.4</v>
      </c>
      <c r="K933" s="152">
        <f>ROUND(J933*E933,2)</f>
        <v>17125.39</v>
      </c>
      <c r="L933" s="153"/>
      <c r="M933" s="139"/>
      <c r="N933" s="139"/>
      <c r="O933" s="188" t="str">
        <f>_xlfn.DISPIMG("ID_021955E0AB6F46708C9CE52A16C77F8A",1)</f>
        <v>=DISPIMG("ID_021955E0AB6F46708C9CE52A16C77F8A",1)</v>
      </c>
      <c r="P933" s="37">
        <f>Q933+Q933*R933+S933+T933+U933</f>
        <v>1674</v>
      </c>
      <c r="Q933" s="71">
        <f>2150-600</f>
        <v>1550</v>
      </c>
      <c r="R933" s="157">
        <v>0</v>
      </c>
      <c r="S933" s="71">
        <v>110</v>
      </c>
      <c r="T933" s="71">
        <v>12</v>
      </c>
      <c r="U933" s="71">
        <v>2</v>
      </c>
      <c r="V933" s="37">
        <f>P933*E933</f>
        <v>15568.5348</v>
      </c>
      <c r="W933" s="139"/>
      <c r="X933" s="139"/>
      <c r="Y933" s="139"/>
      <c r="Z933" s="139"/>
      <c r="AA933" s="139"/>
      <c r="AB933" s="139"/>
      <c r="AC933" s="139"/>
      <c r="AD933" s="139"/>
      <c r="AE933" s="139"/>
      <c r="AF933" s="140"/>
      <c r="AG933" s="140"/>
      <c r="AH933" s="140"/>
      <c r="AI933" s="140"/>
      <c r="AJ933" s="140"/>
      <c r="AK933" s="140"/>
      <c r="AL933" s="140"/>
      <c r="AM933" s="140"/>
      <c r="AN933" s="140"/>
      <c r="AO933" s="140"/>
      <c r="AP933" s="140"/>
      <c r="AQ933" s="140"/>
      <c r="AR933" s="140"/>
      <c r="AS933" s="140"/>
      <c r="AT933" s="140"/>
      <c r="AU933" s="140"/>
      <c r="AV933" s="140"/>
      <c r="AW933" s="140"/>
      <c r="AX933" s="140"/>
      <c r="AY933" s="140"/>
      <c r="AZ933" s="140"/>
      <c r="BA933" s="140"/>
      <c r="BB933" s="140"/>
      <c r="BC933" s="140"/>
      <c r="BD933" s="140"/>
      <c r="BE933" s="140"/>
    </row>
    <row r="934" s="119" customFormat="1" ht="48" customHeight="1" outlineLevel="2" spans="1:57">
      <c r="A934" s="145">
        <f>1+N(A933)</f>
        <v>3</v>
      </c>
      <c r="B934" s="146" t="s">
        <v>443</v>
      </c>
      <c r="C934" s="147" t="s">
        <v>298</v>
      </c>
      <c r="D934" s="148" t="s">
        <v>63</v>
      </c>
      <c r="E934" s="149">
        <f>0.9*3.2</f>
        <v>2.88</v>
      </c>
      <c r="F934" s="149">
        <f>S934*$S$1</f>
        <v>145</v>
      </c>
      <c r="G934" s="149">
        <f>Q934*(1+R934)*$Q$1</f>
        <v>1800</v>
      </c>
      <c r="H934" s="149">
        <f>(T934+U934)*$T$1</f>
        <v>28.5</v>
      </c>
      <c r="I934" s="150">
        <f>(F934+G934+H934)*$I$3</f>
        <v>197.35</v>
      </c>
      <c r="J934" s="151">
        <f>ROUND(SUM(F934:I934),2)</f>
        <v>2170.85</v>
      </c>
      <c r="K934" s="152">
        <f>ROUND(J934*E934,2)</f>
        <v>6252.05</v>
      </c>
      <c r="L934" s="153"/>
      <c r="M934" s="139"/>
      <c r="N934" s="139">
        <f>1200/2.88</f>
        <v>416.666666666667</v>
      </c>
      <c r="O934" s="139"/>
      <c r="P934" s="37">
        <f>Q934+Q934*R934+S934+T934+U934</f>
        <v>1973.5</v>
      </c>
      <c r="Q934" s="71">
        <f>1350+450</f>
        <v>1800</v>
      </c>
      <c r="R934" s="157">
        <v>0</v>
      </c>
      <c r="S934" s="71">
        <v>145</v>
      </c>
      <c r="T934" s="71">
        <v>27</v>
      </c>
      <c r="U934" s="71">
        <v>1.5</v>
      </c>
      <c r="V934" s="37">
        <f>P934*E934</f>
        <v>5683.68</v>
      </c>
      <c r="W934" s="139"/>
      <c r="X934" s="139"/>
      <c r="Y934" s="139"/>
      <c r="Z934" s="139"/>
      <c r="AA934" s="139"/>
      <c r="AB934" s="139"/>
      <c r="AC934" s="139"/>
      <c r="AD934" s="139"/>
      <c r="AE934" s="139"/>
      <c r="AF934" s="140"/>
      <c r="AG934" s="140"/>
      <c r="AH934" s="140"/>
      <c r="AI934" s="140"/>
      <c r="AJ934" s="140"/>
      <c r="AK934" s="140"/>
      <c r="AL934" s="140"/>
      <c r="AM934" s="140"/>
      <c r="AN934" s="140"/>
      <c r="AO934" s="140"/>
      <c r="AP934" s="140"/>
      <c r="AQ934" s="140"/>
      <c r="AR934" s="140"/>
      <c r="AS934" s="140"/>
      <c r="AT934" s="140"/>
      <c r="AU934" s="140"/>
      <c r="AV934" s="140"/>
      <c r="AW934" s="140"/>
      <c r="AX934" s="140"/>
      <c r="AY934" s="140"/>
      <c r="AZ934" s="140"/>
      <c r="BA934" s="140"/>
      <c r="BB934" s="140"/>
      <c r="BC934" s="140"/>
      <c r="BD934" s="140"/>
      <c r="BE934" s="140"/>
    </row>
    <row r="935" s="119" customFormat="1" ht="24" customHeight="1" outlineLevel="1" spans="1:57">
      <c r="A935" s="132" t="s">
        <v>119</v>
      </c>
      <c r="B935" s="179" t="s">
        <v>444</v>
      </c>
      <c r="C935" s="180"/>
      <c r="D935" s="133"/>
      <c r="E935" s="134"/>
      <c r="F935" s="134"/>
      <c r="G935" s="134"/>
      <c r="H935" s="134"/>
      <c r="I935" s="134"/>
      <c r="J935" s="134"/>
      <c r="K935" s="11"/>
      <c r="L935" s="135"/>
      <c r="M935" s="139"/>
      <c r="N935" s="139"/>
      <c r="O935" s="139"/>
      <c r="P935" s="137"/>
      <c r="Q935" s="137"/>
      <c r="R935" s="138"/>
      <c r="S935" s="137"/>
      <c r="T935" s="137"/>
      <c r="U935" s="137"/>
      <c r="V935" s="137"/>
      <c r="W935" s="139"/>
      <c r="X935" s="139"/>
      <c r="Y935" s="139"/>
      <c r="Z935" s="139"/>
      <c r="AA935" s="139"/>
      <c r="AB935" s="139"/>
      <c r="AC935" s="139"/>
      <c r="AD935" s="139"/>
      <c r="AE935" s="139"/>
      <c r="AF935" s="140"/>
      <c r="AG935" s="140"/>
      <c r="AH935" s="140"/>
      <c r="AI935" s="140"/>
      <c r="AJ935" s="140"/>
      <c r="AK935" s="140"/>
      <c r="AL935" s="140"/>
      <c r="AM935" s="140"/>
      <c r="AN935" s="140"/>
      <c r="AO935" s="140"/>
      <c r="AP935" s="140"/>
      <c r="AQ935" s="140"/>
      <c r="AR935" s="140"/>
      <c r="AS935" s="140"/>
      <c r="AT935" s="140"/>
      <c r="AU935" s="140"/>
      <c r="AV935" s="140"/>
      <c r="AW935" s="140"/>
      <c r="AX935" s="140"/>
      <c r="AY935" s="140"/>
      <c r="AZ935" s="140"/>
      <c r="BA935" s="140"/>
      <c r="BB935" s="140"/>
      <c r="BC935" s="140"/>
      <c r="BD935" s="140"/>
      <c r="BE935" s="140"/>
    </row>
    <row r="936" s="119" customFormat="1" ht="24" customHeight="1" outlineLevel="1" spans="1:57">
      <c r="A936" s="141"/>
      <c r="B936" s="14" t="s">
        <v>60</v>
      </c>
      <c r="C936" s="15"/>
      <c r="D936" s="142"/>
      <c r="E936" s="143"/>
      <c r="F936" s="143"/>
      <c r="G936" s="143"/>
      <c r="H936" s="143"/>
      <c r="I936" s="143"/>
      <c r="J936" s="143"/>
      <c r="K936" s="144"/>
      <c r="L936" s="135"/>
      <c r="M936" s="139"/>
      <c r="N936" s="139"/>
      <c r="O936" s="139"/>
      <c r="P936" s="137"/>
      <c r="Q936" s="137"/>
      <c r="R936" s="138"/>
      <c r="S936" s="137"/>
      <c r="T936" s="137"/>
      <c r="U936" s="137"/>
      <c r="V936" s="137"/>
      <c r="W936" s="139"/>
      <c r="X936" s="139"/>
      <c r="Y936" s="139"/>
      <c r="Z936" s="139"/>
      <c r="AA936" s="139"/>
      <c r="AB936" s="139"/>
      <c r="AC936" s="139"/>
      <c r="AD936" s="139"/>
      <c r="AE936" s="139"/>
      <c r="AF936" s="140"/>
      <c r="AG936" s="140"/>
      <c r="AH936" s="140"/>
      <c r="AI936" s="140"/>
      <c r="AJ936" s="140"/>
      <c r="AK936" s="140"/>
      <c r="AL936" s="140"/>
      <c r="AM936" s="140"/>
      <c r="AN936" s="140"/>
      <c r="AO936" s="140"/>
      <c r="AP936" s="140"/>
      <c r="AQ936" s="140"/>
      <c r="AR936" s="140"/>
      <c r="AS936" s="140"/>
      <c r="AT936" s="140"/>
      <c r="AU936" s="140"/>
      <c r="AV936" s="140"/>
      <c r="AW936" s="140"/>
      <c r="AX936" s="140"/>
      <c r="AY936" s="140"/>
      <c r="AZ936" s="140"/>
      <c r="BA936" s="140"/>
      <c r="BB936" s="140"/>
      <c r="BC936" s="140"/>
      <c r="BD936" s="140"/>
      <c r="BE936" s="140"/>
    </row>
    <row r="937" s="119" customFormat="1" ht="48" customHeight="1" outlineLevel="2" spans="1:57">
      <c r="A937" s="162">
        <f>1+N(A936)</f>
        <v>1</v>
      </c>
      <c r="B937" s="14" t="s">
        <v>168</v>
      </c>
      <c r="C937" s="15" t="s">
        <v>430</v>
      </c>
      <c r="D937" s="142" t="s">
        <v>63</v>
      </c>
      <c r="E937" s="143">
        <f>+E938+E939+E940</f>
        <v>122.835</v>
      </c>
      <c r="F937" s="143">
        <f>$F$227</f>
        <v>28</v>
      </c>
      <c r="G937" s="143">
        <f>$G$227</f>
        <v>0</v>
      </c>
      <c r="H937" s="143">
        <f>$H$227</f>
        <v>31.8</v>
      </c>
      <c r="I937" s="17">
        <f>(F937+G937+H937)*$I$3</f>
        <v>5.98</v>
      </c>
      <c r="J937" s="18">
        <f>ROUND(SUM(F937:I937),2)</f>
        <v>65.78</v>
      </c>
      <c r="K937" s="19">
        <f>ROUND(J937*E937,2)</f>
        <v>8080.09</v>
      </c>
      <c r="L937" s="135"/>
      <c r="M937" s="139"/>
      <c r="N937" s="139"/>
      <c r="O937" s="139"/>
      <c r="P937" s="37">
        <f>Q937+Q937*R937+S937+T937+U937</f>
        <v>59.8</v>
      </c>
      <c r="Q937" s="99">
        <f>$Q$227</f>
        <v>0</v>
      </c>
      <c r="R937" s="163">
        <f>$R$227</f>
        <v>0</v>
      </c>
      <c r="S937" s="99">
        <f>$S$227</f>
        <v>28</v>
      </c>
      <c r="T937" s="99">
        <f>$T$227</f>
        <v>31.5</v>
      </c>
      <c r="U937" s="99">
        <f>$U$227</f>
        <v>0.3</v>
      </c>
      <c r="V937" s="37">
        <f>P937*E937</f>
        <v>7345.533</v>
      </c>
      <c r="W937" s="139"/>
      <c r="X937" s="139"/>
      <c r="Y937" s="139"/>
      <c r="Z937" s="139"/>
      <c r="AA937" s="139"/>
      <c r="AB937" s="139"/>
      <c r="AC937" s="139"/>
      <c r="AD937" s="139"/>
      <c r="AE937" s="139"/>
      <c r="AF937" s="140"/>
      <c r="AG937" s="140"/>
      <c r="AH937" s="140"/>
      <c r="AI937" s="140"/>
      <c r="AJ937" s="140"/>
      <c r="AK937" s="140"/>
      <c r="AL937" s="140"/>
      <c r="AM937" s="140"/>
      <c r="AN937" s="140"/>
      <c r="AO937" s="140"/>
      <c r="AP937" s="140"/>
      <c r="AQ937" s="140"/>
      <c r="AR937" s="140"/>
      <c r="AS937" s="140"/>
      <c r="AT937" s="140"/>
      <c r="AU937" s="140"/>
      <c r="AV937" s="140"/>
      <c r="AW937" s="140"/>
      <c r="AX937" s="140"/>
      <c r="AY937" s="140"/>
      <c r="AZ937" s="140"/>
      <c r="BA937" s="140"/>
      <c r="BB937" s="140"/>
      <c r="BC937" s="140"/>
      <c r="BD937" s="140"/>
      <c r="BE937" s="140"/>
    </row>
    <row r="938" s="119" customFormat="1" ht="60" customHeight="1" outlineLevel="2" spans="1:57">
      <c r="A938" s="145">
        <f>1+N(A937)</f>
        <v>2</v>
      </c>
      <c r="B938" s="146" t="s">
        <v>445</v>
      </c>
      <c r="C938" s="147" t="s">
        <v>446</v>
      </c>
      <c r="D938" s="148" t="s">
        <v>63</v>
      </c>
      <c r="E938" s="149">
        <v>39.677</v>
      </c>
      <c r="F938" s="149">
        <f>S938*$S$1</f>
        <v>36</v>
      </c>
      <c r="G938" s="149">
        <f>Q938*(1+R938)*$Q$1</f>
        <v>471.5</v>
      </c>
      <c r="H938" s="149">
        <f>(T938+U938)*$T$1</f>
        <v>17.5</v>
      </c>
      <c r="I938" s="150">
        <f>(F938+G938+H938)*$I$3</f>
        <v>52.5</v>
      </c>
      <c r="J938" s="151">
        <f>ROUND(SUM(F938:I938),2)</f>
        <v>577.5</v>
      </c>
      <c r="K938" s="152">
        <f>ROUND(J938*E938,2)</f>
        <v>22913.47</v>
      </c>
      <c r="L938" s="153"/>
      <c r="M938" s="139"/>
      <c r="N938" s="139"/>
      <c r="O938" s="139"/>
      <c r="P938" s="37">
        <f>Q938+Q938*R938+S938+T938+U938</f>
        <v>525</v>
      </c>
      <c r="Q938" s="71">
        <v>460</v>
      </c>
      <c r="R938" s="157">
        <v>0.025</v>
      </c>
      <c r="S938" s="71">
        <v>36</v>
      </c>
      <c r="T938" s="71">
        <v>17.5</v>
      </c>
      <c r="U938" s="71"/>
      <c r="V938" s="37">
        <f>P938*E938</f>
        <v>20830.425</v>
      </c>
      <c r="W938" s="139"/>
      <c r="X938" s="139"/>
      <c r="Y938" s="139"/>
      <c r="Z938" s="139"/>
      <c r="AA938" s="139"/>
      <c r="AB938" s="139"/>
      <c r="AC938" s="139"/>
      <c r="AD938" s="139"/>
      <c r="AE938" s="139"/>
      <c r="AF938" s="140"/>
      <c r="AG938" s="140"/>
      <c r="AH938" s="140"/>
      <c r="AI938" s="140"/>
      <c r="AJ938" s="140"/>
      <c r="AK938" s="140"/>
      <c r="AL938" s="140"/>
      <c r="AM938" s="140"/>
      <c r="AN938" s="140"/>
      <c r="AO938" s="140"/>
      <c r="AP938" s="140"/>
      <c r="AQ938" s="140"/>
      <c r="AR938" s="140"/>
      <c r="AS938" s="140"/>
      <c r="AT938" s="140"/>
      <c r="AU938" s="140"/>
      <c r="AV938" s="140"/>
      <c r="AW938" s="140"/>
      <c r="AX938" s="140"/>
      <c r="AY938" s="140"/>
      <c r="AZ938" s="140"/>
      <c r="BA938" s="140"/>
      <c r="BB938" s="140"/>
      <c r="BC938" s="140"/>
      <c r="BD938" s="140"/>
      <c r="BE938" s="140"/>
    </row>
    <row r="939" s="119" customFormat="1" ht="60" customHeight="1" outlineLevel="2" spans="1:57">
      <c r="A939" s="145">
        <f>1+N(A938)</f>
        <v>3</v>
      </c>
      <c r="B939" s="146" t="s">
        <v>447</v>
      </c>
      <c r="C939" s="147" t="s">
        <v>448</v>
      </c>
      <c r="D939" s="148" t="s">
        <v>63</v>
      </c>
      <c r="E939" s="149">
        <v>49.103</v>
      </c>
      <c r="F939" s="149">
        <f>S939*$S$1</f>
        <v>36</v>
      </c>
      <c r="G939" s="149">
        <f>Q939*(1+R939)*$Q$1</f>
        <v>471.5</v>
      </c>
      <c r="H939" s="149">
        <f>(T939+U939)*$T$1</f>
        <v>17.5</v>
      </c>
      <c r="I939" s="150">
        <f>(F939+G939+H939)*$I$3</f>
        <v>52.5</v>
      </c>
      <c r="J939" s="151">
        <f>ROUND(SUM(F939:I939),2)</f>
        <v>577.5</v>
      </c>
      <c r="K939" s="152">
        <f>ROUND(J939*E939,2)</f>
        <v>28356.98</v>
      </c>
      <c r="L939" s="153"/>
      <c r="M939" s="139"/>
      <c r="N939" s="139"/>
      <c r="O939" s="139"/>
      <c r="P939" s="37">
        <f>Q939+Q939*R939+S939+T939+U939</f>
        <v>525</v>
      </c>
      <c r="Q939" s="71">
        <v>460</v>
      </c>
      <c r="R939" s="157">
        <v>0.025</v>
      </c>
      <c r="S939" s="71">
        <v>36</v>
      </c>
      <c r="T939" s="71">
        <v>17.5</v>
      </c>
      <c r="U939" s="71"/>
      <c r="V939" s="37">
        <f>P939*E939</f>
        <v>25779.075</v>
      </c>
      <c r="W939" s="139"/>
      <c r="X939" s="139"/>
      <c r="Y939" s="139"/>
      <c r="Z939" s="139"/>
      <c r="AA939" s="139"/>
      <c r="AB939" s="139"/>
      <c r="AC939" s="139"/>
      <c r="AD939" s="139"/>
      <c r="AE939" s="139"/>
      <c r="AF939" s="140"/>
      <c r="AG939" s="140"/>
      <c r="AH939" s="140"/>
      <c r="AI939" s="140"/>
      <c r="AJ939" s="140"/>
      <c r="AK939" s="140"/>
      <c r="AL939" s="140"/>
      <c r="AM939" s="140"/>
      <c r="AN939" s="140"/>
      <c r="AO939" s="140"/>
      <c r="AP939" s="140"/>
      <c r="AQ939" s="140"/>
      <c r="AR939" s="140"/>
      <c r="AS939" s="140"/>
      <c r="AT939" s="140"/>
      <c r="AU939" s="140"/>
      <c r="AV939" s="140"/>
      <c r="AW939" s="140"/>
      <c r="AX939" s="140"/>
      <c r="AY939" s="140"/>
      <c r="AZ939" s="140"/>
      <c r="BA939" s="140"/>
      <c r="BB939" s="140"/>
      <c r="BC939" s="140"/>
      <c r="BD939" s="140"/>
      <c r="BE939" s="140"/>
    </row>
    <row r="940" s="119" customFormat="1" ht="60" customHeight="1" outlineLevel="2" spans="1:57">
      <c r="A940" s="145">
        <f>1+N(A939)</f>
        <v>4</v>
      </c>
      <c r="B940" s="146" t="s">
        <v>449</v>
      </c>
      <c r="C940" s="147" t="s">
        <v>450</v>
      </c>
      <c r="D940" s="148" t="s">
        <v>63</v>
      </c>
      <c r="E940" s="149">
        <v>34.055</v>
      </c>
      <c r="F940" s="149">
        <f>S940*$S$1</f>
        <v>36</v>
      </c>
      <c r="G940" s="149">
        <f>Q940*(1+R940)*$Q$1</f>
        <v>471.5</v>
      </c>
      <c r="H940" s="149">
        <f>(T940+U940)*$T$1</f>
        <v>17.5</v>
      </c>
      <c r="I940" s="150">
        <f>(F940+G940+H940)*$I$3</f>
        <v>52.5</v>
      </c>
      <c r="J940" s="151">
        <f>ROUND(SUM(F940:I940),2)</f>
        <v>577.5</v>
      </c>
      <c r="K940" s="152">
        <f>ROUND(J940*E940,2)</f>
        <v>19666.76</v>
      </c>
      <c r="L940" s="153"/>
      <c r="M940" s="139"/>
      <c r="N940" s="139"/>
      <c r="O940" s="139"/>
      <c r="P940" s="37">
        <f>Q940+Q940*R940+S940+T940+U940</f>
        <v>525</v>
      </c>
      <c r="Q940" s="71">
        <v>460</v>
      </c>
      <c r="R940" s="157">
        <v>0.025</v>
      </c>
      <c r="S940" s="71">
        <v>36</v>
      </c>
      <c r="T940" s="71">
        <v>17.5</v>
      </c>
      <c r="U940" s="71"/>
      <c r="V940" s="37">
        <f>P940*E940</f>
        <v>17878.875</v>
      </c>
      <c r="W940" s="139"/>
      <c r="X940" s="139"/>
      <c r="Y940" s="139"/>
      <c r="Z940" s="139"/>
      <c r="AA940" s="139"/>
      <c r="AB940" s="139"/>
      <c r="AC940" s="139"/>
      <c r="AD940" s="139"/>
      <c r="AE940" s="139"/>
      <c r="AF940" s="140"/>
      <c r="AG940" s="140"/>
      <c r="AH940" s="140"/>
      <c r="AI940" s="140"/>
      <c r="AJ940" s="140"/>
      <c r="AK940" s="140"/>
      <c r="AL940" s="140"/>
      <c r="AM940" s="140"/>
      <c r="AN940" s="140"/>
      <c r="AO940" s="140"/>
      <c r="AP940" s="140"/>
      <c r="AQ940" s="140"/>
      <c r="AR940" s="140"/>
      <c r="AS940" s="140"/>
      <c r="AT940" s="140"/>
      <c r="AU940" s="140"/>
      <c r="AV940" s="140"/>
      <c r="AW940" s="140"/>
      <c r="AX940" s="140"/>
      <c r="AY940" s="140"/>
      <c r="AZ940" s="140"/>
      <c r="BA940" s="140"/>
      <c r="BB940" s="140"/>
      <c r="BC940" s="140"/>
      <c r="BD940" s="140"/>
      <c r="BE940" s="140"/>
    </row>
    <row r="941" s="119" customFormat="1" ht="36" customHeight="1" outlineLevel="2" spans="1:57">
      <c r="A941" s="162">
        <f>1+N(A940)</f>
        <v>5</v>
      </c>
      <c r="B941" s="14" t="s">
        <v>68</v>
      </c>
      <c r="C941" s="15" t="s">
        <v>69</v>
      </c>
      <c r="D941" s="142" t="s">
        <v>70</v>
      </c>
      <c r="E941" s="143">
        <v>13.565</v>
      </c>
      <c r="F941" s="143">
        <f>$F$10</f>
        <v>12</v>
      </c>
      <c r="G941" s="143">
        <f>$G$10</f>
        <v>19.57</v>
      </c>
      <c r="H941" s="143">
        <f>$H$10</f>
        <v>0.5</v>
      </c>
      <c r="I941" s="17">
        <f>(F941+G941+H941)*$I$3</f>
        <v>3.207</v>
      </c>
      <c r="J941" s="18">
        <f>ROUND(SUM(F941:I941),2)</f>
        <v>35.28</v>
      </c>
      <c r="K941" s="19">
        <f>ROUND(J941*E941,2)</f>
        <v>478.57</v>
      </c>
      <c r="L941" s="135"/>
      <c r="M941" s="139"/>
      <c r="N941" s="139"/>
      <c r="O941" s="139"/>
      <c r="P941" s="37">
        <f>Q941+Q941*R941+S941+T941+U941</f>
        <v>32.07</v>
      </c>
      <c r="Q941" s="99">
        <f>$Q$10</f>
        <v>19</v>
      </c>
      <c r="R941" s="163">
        <f>$R$10</f>
        <v>0.03</v>
      </c>
      <c r="S941" s="99">
        <f>$S$10</f>
        <v>12</v>
      </c>
      <c r="T941" s="99">
        <f>$T$10</f>
        <v>0.3</v>
      </c>
      <c r="U941" s="99">
        <f>$U$10</f>
        <v>0.2</v>
      </c>
      <c r="V941" s="37">
        <f>P941*E941</f>
        <v>435.02955</v>
      </c>
      <c r="W941" s="139"/>
      <c r="X941" s="139"/>
      <c r="Y941" s="139"/>
      <c r="Z941" s="139"/>
      <c r="AA941" s="139"/>
      <c r="AB941" s="139"/>
      <c r="AC941" s="139"/>
      <c r="AD941" s="139"/>
      <c r="AE941" s="139"/>
      <c r="AF941" s="140"/>
      <c r="AG941" s="140"/>
      <c r="AH941" s="140"/>
      <c r="AI941" s="140"/>
      <c r="AJ941" s="140"/>
      <c r="AK941" s="140"/>
      <c r="AL941" s="140"/>
      <c r="AM941" s="140"/>
      <c r="AN941" s="140"/>
      <c r="AO941" s="140"/>
      <c r="AP941" s="140"/>
      <c r="AQ941" s="140"/>
      <c r="AR941" s="140"/>
      <c r="AS941" s="140"/>
      <c r="AT941" s="140"/>
      <c r="AU941" s="140"/>
      <c r="AV941" s="140"/>
      <c r="AW941" s="140"/>
      <c r="AX941" s="140"/>
      <c r="AY941" s="140"/>
      <c r="AZ941" s="140"/>
      <c r="BA941" s="140"/>
      <c r="BB941" s="140"/>
      <c r="BC941" s="140"/>
      <c r="BD941" s="140"/>
      <c r="BE941" s="140"/>
    </row>
    <row r="942" s="119" customFormat="1" ht="24" customHeight="1" outlineLevel="1" spans="1:57">
      <c r="A942" s="141"/>
      <c r="B942" s="14" t="s">
        <v>73</v>
      </c>
      <c r="C942" s="15"/>
      <c r="D942" s="142"/>
      <c r="E942" s="143"/>
      <c r="F942" s="143"/>
      <c r="G942" s="143"/>
      <c r="H942" s="143"/>
      <c r="I942" s="143"/>
      <c r="J942" s="143"/>
      <c r="K942" s="144"/>
      <c r="L942" s="135"/>
      <c r="M942" s="139"/>
      <c r="N942" s="139"/>
      <c r="O942" s="139"/>
      <c r="P942" s="137"/>
      <c r="Q942" s="137"/>
      <c r="R942" s="138"/>
      <c r="S942" s="137"/>
      <c r="T942" s="137"/>
      <c r="U942" s="137"/>
      <c r="V942" s="137"/>
      <c r="W942" s="139"/>
      <c r="X942" s="139"/>
      <c r="Y942" s="139"/>
      <c r="Z942" s="139"/>
      <c r="AA942" s="139"/>
      <c r="AB942" s="139"/>
      <c r="AC942" s="139"/>
      <c r="AD942" s="139"/>
      <c r="AE942" s="139"/>
      <c r="AF942" s="140"/>
      <c r="AG942" s="140"/>
      <c r="AH942" s="140"/>
      <c r="AI942" s="140"/>
      <c r="AJ942" s="140"/>
      <c r="AK942" s="140"/>
      <c r="AL942" s="140"/>
      <c r="AM942" s="140"/>
      <c r="AN942" s="140"/>
      <c r="AO942" s="140"/>
      <c r="AP942" s="140"/>
      <c r="AQ942" s="140"/>
      <c r="AR942" s="140"/>
      <c r="AS942" s="140"/>
      <c r="AT942" s="140"/>
      <c r="AU942" s="140"/>
      <c r="AV942" s="140"/>
      <c r="AW942" s="140"/>
      <c r="AX942" s="140"/>
      <c r="AY942" s="140"/>
      <c r="AZ942" s="140"/>
      <c r="BA942" s="140"/>
      <c r="BB942" s="140"/>
      <c r="BC942" s="140"/>
      <c r="BD942" s="140"/>
      <c r="BE942" s="140"/>
    </row>
    <row r="943" s="119" customFormat="1" ht="48" customHeight="1" outlineLevel="2" spans="1:57">
      <c r="A943" s="162">
        <f t="shared" ref="A943:A948" si="291">1+N(A942)</f>
        <v>1</v>
      </c>
      <c r="B943" s="164" t="s">
        <v>433</v>
      </c>
      <c r="C943" s="15" t="s">
        <v>434</v>
      </c>
      <c r="D943" s="142" t="s">
        <v>63</v>
      </c>
      <c r="E943" s="143">
        <v>162.637</v>
      </c>
      <c r="F943" s="143">
        <f>$F$918</f>
        <v>35</v>
      </c>
      <c r="G943" s="143">
        <f>$G$918</f>
        <v>469.68</v>
      </c>
      <c r="H943" s="143">
        <f>$H$918</f>
        <v>54.7</v>
      </c>
      <c r="I943" s="17">
        <f t="shared" ref="I943:I948" si="292">(F943+G943+H943)*$I$3</f>
        <v>55.938</v>
      </c>
      <c r="J943" s="18">
        <f t="shared" ref="J943:J948" si="293">ROUND(SUM(F943:I943),2)</f>
        <v>615.32</v>
      </c>
      <c r="K943" s="19">
        <f t="shared" ref="K943:K948" si="294">ROUND(J943*E943,2)</f>
        <v>100073.8</v>
      </c>
      <c r="L943" s="135"/>
      <c r="M943" s="139"/>
      <c r="N943" s="139"/>
      <c r="O943" s="139"/>
      <c r="P943" s="37">
        <f t="shared" ref="P943:P948" si="295">Q943+Q943*R943+S943+T943+U943</f>
        <v>559.38</v>
      </c>
      <c r="Q943" s="99">
        <f>$Q$918</f>
        <v>456</v>
      </c>
      <c r="R943" s="163">
        <f>$R$918</f>
        <v>0.03</v>
      </c>
      <c r="S943" s="99">
        <f>$S$918</f>
        <v>35</v>
      </c>
      <c r="T943" s="99">
        <f>$T$918</f>
        <v>53.5</v>
      </c>
      <c r="U943" s="99">
        <f>$U$918</f>
        <v>1.2</v>
      </c>
      <c r="V943" s="37">
        <f t="shared" ref="V943:V948" si="296">P943*E943</f>
        <v>90975.88506</v>
      </c>
      <c r="W943" s="139"/>
      <c r="X943" s="139"/>
      <c r="Y943" s="139"/>
      <c r="Z943" s="139"/>
      <c r="AA943" s="139"/>
      <c r="AB943" s="139"/>
      <c r="AC943" s="139"/>
      <c r="AD943" s="139"/>
      <c r="AE943" s="139"/>
      <c r="AF943" s="140"/>
      <c r="AG943" s="140"/>
      <c r="AH943" s="140"/>
      <c r="AI943" s="140"/>
      <c r="AJ943" s="140"/>
      <c r="AK943" s="140"/>
      <c r="AL943" s="140"/>
      <c r="AM943" s="140"/>
      <c r="AN943" s="140"/>
      <c r="AO943" s="140"/>
      <c r="AP943" s="140"/>
      <c r="AQ943" s="140"/>
      <c r="AR943" s="140"/>
      <c r="AS943" s="140"/>
      <c r="AT943" s="140"/>
      <c r="AU943" s="140"/>
      <c r="AV943" s="140"/>
      <c r="AW943" s="140"/>
      <c r="AX943" s="140"/>
      <c r="AY943" s="140"/>
      <c r="AZ943" s="140"/>
      <c r="BA943" s="140"/>
      <c r="BB943" s="140"/>
      <c r="BC943" s="140"/>
      <c r="BD943" s="140"/>
      <c r="BE943" s="140"/>
    </row>
    <row r="944" s="119" customFormat="1" ht="60" customHeight="1" outlineLevel="2" spans="1:57">
      <c r="A944" s="162">
        <f t="shared" si="291"/>
        <v>2</v>
      </c>
      <c r="B944" s="165" t="s">
        <v>174</v>
      </c>
      <c r="C944" s="166" t="s">
        <v>175</v>
      </c>
      <c r="D944" s="142" t="s">
        <v>63</v>
      </c>
      <c r="E944" s="143">
        <v>30.897</v>
      </c>
      <c r="F944" s="143">
        <f>$F$180</f>
        <v>110</v>
      </c>
      <c r="G944" s="143">
        <f>$G$180</f>
        <v>87.55</v>
      </c>
      <c r="H944" s="143">
        <f>$H$180</f>
        <v>126.35</v>
      </c>
      <c r="I944" s="17">
        <f t="shared" si="292"/>
        <v>32.39</v>
      </c>
      <c r="J944" s="18">
        <f t="shared" si="293"/>
        <v>356.29</v>
      </c>
      <c r="K944" s="19">
        <f t="shared" si="294"/>
        <v>11008.29</v>
      </c>
      <c r="L944" s="135"/>
      <c r="M944" s="139"/>
      <c r="N944" s="139"/>
      <c r="O944" s="139"/>
      <c r="P944" s="37">
        <f t="shared" si="295"/>
        <v>323.9</v>
      </c>
      <c r="Q944" s="99">
        <f>$Q$180</f>
        <v>85</v>
      </c>
      <c r="R944" s="163">
        <f>$R$180</f>
        <v>0.03</v>
      </c>
      <c r="S944" s="99">
        <f>$S$180</f>
        <v>110</v>
      </c>
      <c r="T944" s="99">
        <f>$T$180</f>
        <v>125.75</v>
      </c>
      <c r="U944" s="99">
        <f>$U$180</f>
        <v>0.6</v>
      </c>
      <c r="V944" s="37">
        <f t="shared" si="296"/>
        <v>10007.5383</v>
      </c>
      <c r="W944" s="139"/>
      <c r="X944" s="139"/>
      <c r="Y944" s="139"/>
      <c r="Z944" s="139"/>
      <c r="AA944" s="139"/>
      <c r="AB944" s="139"/>
      <c r="AC944" s="139"/>
      <c r="AD944" s="139"/>
      <c r="AE944" s="139"/>
      <c r="AF944" s="140"/>
      <c r="AG944" s="140"/>
      <c r="AH944" s="140"/>
      <c r="AI944" s="140"/>
      <c r="AJ944" s="140"/>
      <c r="AK944" s="140"/>
      <c r="AL944" s="140"/>
      <c r="AM944" s="140"/>
      <c r="AN944" s="140"/>
      <c r="AO944" s="140"/>
      <c r="AP944" s="140"/>
      <c r="AQ944" s="140"/>
      <c r="AR944" s="140"/>
      <c r="AS944" s="140"/>
      <c r="AT944" s="140"/>
      <c r="AU944" s="140"/>
      <c r="AV944" s="140"/>
      <c r="AW944" s="140"/>
      <c r="AX944" s="140"/>
      <c r="AY944" s="140"/>
      <c r="AZ944" s="140"/>
      <c r="BA944" s="140"/>
      <c r="BB944" s="140"/>
      <c r="BC944" s="140"/>
      <c r="BD944" s="140"/>
      <c r="BE944" s="140"/>
    </row>
    <row r="945" s="119" customFormat="1" ht="48" customHeight="1" outlineLevel="2" spans="1:57">
      <c r="A945" s="162">
        <f t="shared" si="291"/>
        <v>3</v>
      </c>
      <c r="B945" s="165" t="s">
        <v>91</v>
      </c>
      <c r="C945" s="185" t="s">
        <v>92</v>
      </c>
      <c r="D945" s="142" t="s">
        <v>70</v>
      </c>
      <c r="E945" s="143">
        <v>71.085</v>
      </c>
      <c r="F945" s="143">
        <f>$F$22</f>
        <v>12</v>
      </c>
      <c r="G945" s="143">
        <f>$G$22</f>
        <v>25.75</v>
      </c>
      <c r="H945" s="143">
        <f>$H$22</f>
        <v>3.8</v>
      </c>
      <c r="I945" s="17">
        <f t="shared" si="292"/>
        <v>4.155</v>
      </c>
      <c r="J945" s="18">
        <f t="shared" si="293"/>
        <v>45.71</v>
      </c>
      <c r="K945" s="19">
        <f t="shared" si="294"/>
        <v>3249.3</v>
      </c>
      <c r="L945" s="135"/>
      <c r="M945" s="139"/>
      <c r="N945" s="139"/>
      <c r="O945" s="139"/>
      <c r="P945" s="37">
        <f t="shared" si="295"/>
        <v>41.55</v>
      </c>
      <c r="Q945" s="99">
        <f>$Q$22</f>
        <v>25</v>
      </c>
      <c r="R945" s="163">
        <f>$R$22</f>
        <v>0.03</v>
      </c>
      <c r="S945" s="99">
        <f>$S$22</f>
        <v>12</v>
      </c>
      <c r="T945" s="99">
        <f>$T$22</f>
        <v>3.5</v>
      </c>
      <c r="U945" s="99">
        <f>$U$22</f>
        <v>0.3</v>
      </c>
      <c r="V945" s="37">
        <f t="shared" si="296"/>
        <v>2953.58175</v>
      </c>
      <c r="W945" s="139"/>
      <c r="X945" s="139"/>
      <c r="Y945" s="139"/>
      <c r="Z945" s="139"/>
      <c r="AA945" s="139"/>
      <c r="AB945" s="139"/>
      <c r="AC945" s="139"/>
      <c r="AD945" s="139"/>
      <c r="AE945" s="139"/>
      <c r="AF945" s="140"/>
      <c r="AG945" s="140"/>
      <c r="AH945" s="140"/>
      <c r="AI945" s="140"/>
      <c r="AJ945" s="140"/>
      <c r="AK945" s="140"/>
      <c r="AL945" s="140"/>
      <c r="AM945" s="140"/>
      <c r="AN945" s="140"/>
      <c r="AO945" s="140"/>
      <c r="AP945" s="140"/>
      <c r="AQ945" s="140"/>
      <c r="AR945" s="140"/>
      <c r="AS945" s="140"/>
      <c r="AT945" s="140"/>
      <c r="AU945" s="140"/>
      <c r="AV945" s="140"/>
      <c r="AW945" s="140"/>
      <c r="AX945" s="140"/>
      <c r="AY945" s="140"/>
      <c r="AZ945" s="140"/>
      <c r="BA945" s="140"/>
      <c r="BB945" s="140"/>
      <c r="BC945" s="140"/>
      <c r="BD945" s="140"/>
      <c r="BE945" s="140"/>
    </row>
    <row r="946" s="119" customFormat="1" ht="60" customHeight="1" outlineLevel="2" spans="1:57">
      <c r="A946" s="162">
        <f t="shared" si="291"/>
        <v>4</v>
      </c>
      <c r="B946" s="14" t="s">
        <v>99</v>
      </c>
      <c r="C946" s="15" t="s">
        <v>100</v>
      </c>
      <c r="D946" s="142" t="s">
        <v>70</v>
      </c>
      <c r="E946" s="143">
        <v>58.436</v>
      </c>
      <c r="F946" s="143">
        <f>$F$26</f>
        <v>12</v>
      </c>
      <c r="G946" s="143">
        <f>$G$26</f>
        <v>23.4325</v>
      </c>
      <c r="H946" s="143">
        <f>$H$26</f>
        <v>3.8</v>
      </c>
      <c r="I946" s="17">
        <f t="shared" si="292"/>
        <v>3.92325</v>
      </c>
      <c r="J946" s="18">
        <f t="shared" si="293"/>
        <v>43.16</v>
      </c>
      <c r="K946" s="19">
        <f t="shared" si="294"/>
        <v>2522.1</v>
      </c>
      <c r="L946" s="135"/>
      <c r="M946" s="139"/>
      <c r="N946" s="139"/>
      <c r="O946" s="139"/>
      <c r="P946" s="37">
        <f t="shared" si="295"/>
        <v>39.2325</v>
      </c>
      <c r="Q946" s="99">
        <f>$Q$26</f>
        <v>22.75</v>
      </c>
      <c r="R946" s="163">
        <f>$R$26</f>
        <v>0.03</v>
      </c>
      <c r="S946" s="99">
        <f>$S$26</f>
        <v>12</v>
      </c>
      <c r="T946" s="99">
        <f>$T$26</f>
        <v>3.5</v>
      </c>
      <c r="U946" s="99">
        <f>$U$26</f>
        <v>0.3</v>
      </c>
      <c r="V946" s="37">
        <f t="shared" si="296"/>
        <v>2292.59037</v>
      </c>
      <c r="W946" s="139"/>
      <c r="X946" s="139"/>
      <c r="Y946" s="139"/>
      <c r="Z946" s="139"/>
      <c r="AA946" s="139"/>
      <c r="AB946" s="139"/>
      <c r="AC946" s="139"/>
      <c r="AD946" s="139"/>
      <c r="AE946" s="139"/>
      <c r="AF946" s="140"/>
      <c r="AG946" s="140"/>
      <c r="AH946" s="140"/>
      <c r="AI946" s="140"/>
      <c r="AJ946" s="140"/>
      <c r="AK946" s="140"/>
      <c r="AL946" s="140"/>
      <c r="AM946" s="140"/>
      <c r="AN946" s="140"/>
      <c r="AO946" s="140"/>
      <c r="AP946" s="140"/>
      <c r="AQ946" s="140"/>
      <c r="AR946" s="140"/>
      <c r="AS946" s="140"/>
      <c r="AT946" s="140"/>
      <c r="AU946" s="140"/>
      <c r="AV946" s="140"/>
      <c r="AW946" s="140"/>
      <c r="AX946" s="140"/>
      <c r="AY946" s="140"/>
      <c r="AZ946" s="140"/>
      <c r="BA946" s="140"/>
      <c r="BB946" s="140"/>
      <c r="BC946" s="140"/>
      <c r="BD946" s="140"/>
      <c r="BE946" s="140"/>
    </row>
    <row r="947" s="119" customFormat="1" ht="60" customHeight="1" outlineLevel="2" spans="1:57">
      <c r="A947" s="162">
        <f t="shared" si="291"/>
        <v>5</v>
      </c>
      <c r="B947" s="14" t="s">
        <v>239</v>
      </c>
      <c r="C947" s="15" t="s">
        <v>240</v>
      </c>
      <c r="D947" s="142" t="s">
        <v>63</v>
      </c>
      <c r="E947" s="143">
        <f>+(2.05+3.4-1)*2*4*0.095+(1.75+3.4-1)*2*2*0.095+(2.65+3.4-1)*2*0.095</f>
        <v>5.9185</v>
      </c>
      <c r="F947" s="143">
        <f>$F$356</f>
        <v>110</v>
      </c>
      <c r="G947" s="143">
        <f>$G$356</f>
        <v>454.5</v>
      </c>
      <c r="H947" s="143">
        <f>$H$356</f>
        <v>55.2</v>
      </c>
      <c r="I947" s="17">
        <f t="shared" si="292"/>
        <v>61.97</v>
      </c>
      <c r="J947" s="18">
        <f t="shared" si="293"/>
        <v>681.67</v>
      </c>
      <c r="K947" s="19">
        <f t="shared" si="294"/>
        <v>4034.46</v>
      </c>
      <c r="L947" s="135"/>
      <c r="M947" s="139"/>
      <c r="N947" s="139"/>
      <c r="O947" s="139"/>
      <c r="P947" s="37">
        <f t="shared" si="295"/>
        <v>619.7</v>
      </c>
      <c r="Q947" s="99">
        <f>$Q$356</f>
        <v>450</v>
      </c>
      <c r="R947" s="163">
        <f>$R$356</f>
        <v>0.01</v>
      </c>
      <c r="S947" s="99">
        <f>$S$356</f>
        <v>110</v>
      </c>
      <c r="T947" s="99">
        <f>$T$356</f>
        <v>54</v>
      </c>
      <c r="U947" s="99">
        <f>$U$356</f>
        <v>1.2</v>
      </c>
      <c r="V947" s="37">
        <f t="shared" si="296"/>
        <v>3667.69445</v>
      </c>
      <c r="W947" s="139"/>
      <c r="X947" s="139"/>
      <c r="Y947" s="139"/>
      <c r="Z947" s="139"/>
      <c r="AA947" s="139"/>
      <c r="AB947" s="139"/>
      <c r="AC947" s="139"/>
      <c r="AD947" s="139"/>
      <c r="AE947" s="139"/>
      <c r="AF947" s="140"/>
      <c r="AG947" s="140"/>
      <c r="AH947" s="140"/>
      <c r="AI947" s="140"/>
      <c r="AJ947" s="140"/>
      <c r="AK947" s="140"/>
      <c r="AL947" s="140"/>
      <c r="AM947" s="140"/>
      <c r="AN947" s="140"/>
      <c r="AO947" s="140"/>
      <c r="AP947" s="140"/>
      <c r="AQ947" s="140"/>
      <c r="AR947" s="140"/>
      <c r="AS947" s="140"/>
      <c r="AT947" s="140"/>
      <c r="AU947" s="140"/>
      <c r="AV947" s="140"/>
      <c r="AW947" s="140"/>
      <c r="AX947" s="140"/>
      <c r="AY947" s="140"/>
      <c r="AZ947" s="140"/>
      <c r="BA947" s="140"/>
      <c r="BB947" s="140"/>
      <c r="BC947" s="140"/>
      <c r="BD947" s="140"/>
      <c r="BE947" s="140"/>
    </row>
    <row r="948" s="119" customFormat="1" ht="60" customHeight="1" outlineLevel="2" spans="1:57">
      <c r="A948" s="162">
        <f t="shared" si="291"/>
        <v>6</v>
      </c>
      <c r="B948" s="14" t="s">
        <v>82</v>
      </c>
      <c r="C948" s="15" t="s">
        <v>83</v>
      </c>
      <c r="D948" s="142" t="s">
        <v>63</v>
      </c>
      <c r="E948" s="143">
        <f>0.42*4*3.2+(0.425+0.193+0.04)*(5.9+1.65+5.62)</f>
        <v>14.04186</v>
      </c>
      <c r="F948" s="143">
        <f>$F$17</f>
        <v>110</v>
      </c>
      <c r="G948" s="143">
        <f>$G$17</f>
        <v>454.5</v>
      </c>
      <c r="H948" s="143">
        <f>$H$17</f>
        <v>55.2</v>
      </c>
      <c r="I948" s="17">
        <f t="shared" si="292"/>
        <v>61.97</v>
      </c>
      <c r="J948" s="18">
        <f t="shared" si="293"/>
        <v>681.67</v>
      </c>
      <c r="K948" s="19">
        <f t="shared" si="294"/>
        <v>9571.91</v>
      </c>
      <c r="L948" s="135"/>
      <c r="M948" s="139"/>
      <c r="N948" s="139"/>
      <c r="O948" s="139"/>
      <c r="P948" s="37">
        <f t="shared" si="295"/>
        <v>619.7</v>
      </c>
      <c r="Q948" s="99">
        <f>$Q$17</f>
        <v>450</v>
      </c>
      <c r="R948" s="163">
        <f>$R$17</f>
        <v>0.01</v>
      </c>
      <c r="S948" s="99">
        <f>$S$17</f>
        <v>110</v>
      </c>
      <c r="T948" s="99">
        <f>$T$17</f>
        <v>54</v>
      </c>
      <c r="U948" s="99">
        <f>$U$17</f>
        <v>1.2</v>
      </c>
      <c r="V948" s="37">
        <f t="shared" si="296"/>
        <v>8701.740642</v>
      </c>
      <c r="W948" s="139"/>
      <c r="X948" s="139"/>
      <c r="Y948" s="139"/>
      <c r="Z948" s="139"/>
      <c r="AA948" s="139"/>
      <c r="AB948" s="139"/>
      <c r="AC948" s="139"/>
      <c r="AD948" s="139"/>
      <c r="AE948" s="139"/>
      <c r="AF948" s="140"/>
      <c r="AG948" s="140"/>
      <c r="AH948" s="140"/>
      <c r="AI948" s="140"/>
      <c r="AJ948" s="140"/>
      <c r="AK948" s="140"/>
      <c r="AL948" s="140"/>
      <c r="AM948" s="140"/>
      <c r="AN948" s="140"/>
      <c r="AO948" s="140"/>
      <c r="AP948" s="140"/>
      <c r="AQ948" s="140"/>
      <c r="AR948" s="140"/>
      <c r="AS948" s="140"/>
      <c r="AT948" s="140"/>
      <c r="AU948" s="140"/>
      <c r="AV948" s="140"/>
      <c r="AW948" s="140"/>
      <c r="AX948" s="140"/>
      <c r="AY948" s="140"/>
      <c r="AZ948" s="140"/>
      <c r="BA948" s="140"/>
      <c r="BB948" s="140"/>
      <c r="BC948" s="140"/>
      <c r="BD948" s="140"/>
      <c r="BE948" s="140"/>
    </row>
    <row r="949" s="119" customFormat="1" ht="24" customHeight="1" outlineLevel="1" spans="1:57">
      <c r="A949" s="141"/>
      <c r="B949" s="14" t="s">
        <v>101</v>
      </c>
      <c r="C949" s="15"/>
      <c r="D949" s="142"/>
      <c r="E949" s="143"/>
      <c r="F949" s="143"/>
      <c r="G949" s="143"/>
      <c r="H949" s="143"/>
      <c r="I949" s="143"/>
      <c r="J949" s="143"/>
      <c r="K949" s="144"/>
      <c r="L949" s="135"/>
      <c r="M949" s="139"/>
      <c r="N949" s="139"/>
      <c r="O949" s="139"/>
      <c r="P949" s="137"/>
      <c r="Q949" s="137"/>
      <c r="R949" s="138"/>
      <c r="S949" s="137"/>
      <c r="T949" s="137"/>
      <c r="U949" s="137"/>
      <c r="V949" s="137"/>
      <c r="W949" s="139"/>
      <c r="X949" s="139"/>
      <c r="Y949" s="139"/>
      <c r="Z949" s="139"/>
      <c r="AA949" s="139"/>
      <c r="AB949" s="139"/>
      <c r="AC949" s="139"/>
      <c r="AD949" s="139"/>
      <c r="AE949" s="139"/>
      <c r="AF949" s="140"/>
      <c r="AG949" s="140"/>
      <c r="AH949" s="140"/>
      <c r="AI949" s="140"/>
      <c r="AJ949" s="140"/>
      <c r="AK949" s="140"/>
      <c r="AL949" s="140"/>
      <c r="AM949" s="140"/>
      <c r="AN949" s="140"/>
      <c r="AO949" s="140"/>
      <c r="AP949" s="140"/>
      <c r="AQ949" s="140"/>
      <c r="AR949" s="140"/>
      <c r="AS949" s="140"/>
      <c r="AT949" s="140"/>
      <c r="AU949" s="140"/>
      <c r="AV949" s="140"/>
      <c r="AW949" s="140"/>
      <c r="AX949" s="140"/>
      <c r="AY949" s="140"/>
      <c r="AZ949" s="140"/>
      <c r="BA949" s="140"/>
      <c r="BB949" s="140"/>
      <c r="BC949" s="140"/>
      <c r="BD949" s="140"/>
      <c r="BE949" s="140"/>
    </row>
    <row r="950" s="119" customFormat="1" ht="96" customHeight="1" outlineLevel="2" spans="1:57">
      <c r="A950" s="162">
        <f>1+N(A949)</f>
        <v>1</v>
      </c>
      <c r="B950" s="14" t="s">
        <v>277</v>
      </c>
      <c r="C950" s="167" t="s">
        <v>103</v>
      </c>
      <c r="D950" s="142" t="s">
        <v>63</v>
      </c>
      <c r="E950" s="143">
        <v>120.825</v>
      </c>
      <c r="F950" s="143">
        <f>$F$925</f>
        <v>150</v>
      </c>
      <c r="G950" s="143">
        <f>$G$925</f>
        <v>0</v>
      </c>
      <c r="H950" s="143">
        <f>$H$925</f>
        <v>80.853</v>
      </c>
      <c r="I950" s="17">
        <f>(F950+G950+H950)*$I$3</f>
        <v>23.0853</v>
      </c>
      <c r="J950" s="18">
        <f>ROUND(SUM(F950:I950),2)</f>
        <v>253.94</v>
      </c>
      <c r="K950" s="19">
        <f>ROUND(J950*E950,2)</f>
        <v>30682.3</v>
      </c>
      <c r="L950" s="135"/>
      <c r="M950" s="139"/>
      <c r="N950" s="139"/>
      <c r="O950" s="139"/>
      <c r="P950" s="37">
        <f>Q950+Q950*R950+S950+T950+U950</f>
        <v>230.853</v>
      </c>
      <c r="Q950" s="71">
        <f>$Q$925</f>
        <v>0</v>
      </c>
      <c r="R950" s="157">
        <f>$R$925</f>
        <v>0.01</v>
      </c>
      <c r="S950" s="71">
        <f>$S$925</f>
        <v>150</v>
      </c>
      <c r="T950" s="71">
        <f>$T$925</f>
        <v>78.853</v>
      </c>
      <c r="U950" s="71">
        <f>$U$925</f>
        <v>2</v>
      </c>
      <c r="V950" s="37">
        <f>P950*E950</f>
        <v>27892.813725</v>
      </c>
      <c r="W950" s="139"/>
      <c r="X950" s="139"/>
      <c r="Y950" s="139"/>
      <c r="Z950" s="139"/>
      <c r="AA950" s="139"/>
      <c r="AB950" s="139"/>
      <c r="AC950" s="139"/>
      <c r="AD950" s="139"/>
      <c r="AE950" s="139"/>
      <c r="AF950" s="140"/>
      <c r="AG950" s="140"/>
      <c r="AH950" s="140"/>
      <c r="AI950" s="140"/>
      <c r="AJ950" s="140"/>
      <c r="AK950" s="140"/>
      <c r="AL950" s="140"/>
      <c r="AM950" s="140"/>
      <c r="AN950" s="140"/>
      <c r="AO950" s="140"/>
      <c r="AP950" s="140"/>
      <c r="AQ950" s="140"/>
      <c r="AR950" s="140"/>
      <c r="AS950" s="140"/>
      <c r="AT950" s="140"/>
      <c r="AU950" s="140"/>
      <c r="AV950" s="140"/>
      <c r="AW950" s="140"/>
      <c r="AX950" s="140"/>
      <c r="AY950" s="140"/>
      <c r="AZ950" s="140"/>
      <c r="BA950" s="140"/>
      <c r="BB950" s="140"/>
      <c r="BC950" s="140"/>
      <c r="BD950" s="140"/>
      <c r="BE950" s="140"/>
    </row>
    <row r="951" s="119" customFormat="1" ht="72" customHeight="1" outlineLevel="2" spans="1:57">
      <c r="A951" s="162">
        <f>1+N(A950)</f>
        <v>2</v>
      </c>
      <c r="B951" s="14" t="s">
        <v>438</v>
      </c>
      <c r="C951" s="15" t="s">
        <v>439</v>
      </c>
      <c r="D951" s="142" t="s">
        <v>70</v>
      </c>
      <c r="E951" s="143">
        <v>16.624</v>
      </c>
      <c r="F951" s="143">
        <f>$F$928</f>
        <v>55</v>
      </c>
      <c r="G951" s="143">
        <f>$G$928</f>
        <v>0</v>
      </c>
      <c r="H951" s="143">
        <f>$H$928</f>
        <v>29.6688</v>
      </c>
      <c r="I951" s="17">
        <f>(F951+G951+H951)*$I$3</f>
        <v>8.46688</v>
      </c>
      <c r="J951" s="18">
        <f>ROUND(SUM(F951:I951),2)</f>
        <v>93.14</v>
      </c>
      <c r="K951" s="19">
        <f>ROUND(J951*E951,2)</f>
        <v>1548.36</v>
      </c>
      <c r="L951" s="135"/>
      <c r="M951" s="139"/>
      <c r="N951" s="139"/>
      <c r="O951" s="139"/>
      <c r="P951" s="37">
        <f>Q951+Q951*R951+S951+T951+U951</f>
        <v>84.6688</v>
      </c>
      <c r="Q951" s="99">
        <f>$Q$928</f>
        <v>0</v>
      </c>
      <c r="R951" s="163">
        <f>$R$928</f>
        <v>0.01</v>
      </c>
      <c r="S951" s="99">
        <f>$S$928</f>
        <v>55</v>
      </c>
      <c r="T951" s="99">
        <f>$T$928</f>
        <v>29.6688</v>
      </c>
      <c r="U951" s="99">
        <f>$U$928</f>
        <v>0</v>
      </c>
      <c r="V951" s="37">
        <f>P951*E951</f>
        <v>1407.5341312</v>
      </c>
      <c r="W951" s="139"/>
      <c r="X951" s="139"/>
      <c r="Y951" s="139"/>
      <c r="Z951" s="139"/>
      <c r="AA951" s="139"/>
      <c r="AB951" s="139"/>
      <c r="AC951" s="139"/>
      <c r="AD951" s="139"/>
      <c r="AE951" s="139"/>
      <c r="AF951" s="140"/>
      <c r="AG951" s="140"/>
      <c r="AH951" s="140"/>
      <c r="AI951" s="140"/>
      <c r="AJ951" s="140"/>
      <c r="AK951" s="140"/>
      <c r="AL951" s="140"/>
      <c r="AM951" s="140"/>
      <c r="AN951" s="140"/>
      <c r="AO951" s="140"/>
      <c r="AP951" s="140"/>
      <c r="AQ951" s="140"/>
      <c r="AR951" s="140"/>
      <c r="AS951" s="140"/>
      <c r="AT951" s="140"/>
      <c r="AU951" s="140"/>
      <c r="AV951" s="140"/>
      <c r="AW951" s="140"/>
      <c r="AX951" s="140"/>
      <c r="AY951" s="140"/>
      <c r="AZ951" s="140"/>
      <c r="BA951" s="140"/>
      <c r="BB951" s="140"/>
      <c r="BC951" s="140"/>
      <c r="BD951" s="140"/>
      <c r="BE951" s="140"/>
    </row>
    <row r="952" s="119" customFormat="1" ht="72" customHeight="1" outlineLevel="2" spans="1:57">
      <c r="A952" s="162">
        <f>1+N(A951)</f>
        <v>3</v>
      </c>
      <c r="B952" s="14" t="s">
        <v>108</v>
      </c>
      <c r="C952" s="15" t="s">
        <v>109</v>
      </c>
      <c r="D952" s="142" t="s">
        <v>70</v>
      </c>
      <c r="E952" s="143">
        <f>2.8+6.21+2.11+5.97+1*4</f>
        <v>21.09</v>
      </c>
      <c r="F952" s="143">
        <f>$F$31</f>
        <v>30</v>
      </c>
      <c r="G952" s="143">
        <f>$G$31</f>
        <v>65.6625</v>
      </c>
      <c r="H952" s="143">
        <f>$H$31</f>
        <v>2.7</v>
      </c>
      <c r="I952" s="17">
        <f>(F952+G952+H952)*$I$3</f>
        <v>9.83625</v>
      </c>
      <c r="J952" s="18">
        <f>ROUND(SUM(F952:I952),2)</f>
        <v>108.2</v>
      </c>
      <c r="K952" s="19">
        <f>ROUND(J952*E952,2)</f>
        <v>2281.94</v>
      </c>
      <c r="L952" s="135"/>
      <c r="M952" s="139"/>
      <c r="N952" s="139"/>
      <c r="O952" s="139"/>
      <c r="P952" s="37">
        <f>Q952+Q952*R952+S952+T952+U952</f>
        <v>98.3625</v>
      </c>
      <c r="Q952" s="99">
        <f>$Q$31</f>
        <v>63.75</v>
      </c>
      <c r="R952" s="163">
        <f>$R$31</f>
        <v>0.03</v>
      </c>
      <c r="S952" s="99">
        <f>$S$31</f>
        <v>30</v>
      </c>
      <c r="T952" s="99">
        <f>$T$31</f>
        <v>2.5</v>
      </c>
      <c r="U952" s="99">
        <f>$U$31</f>
        <v>0.2</v>
      </c>
      <c r="V952" s="37">
        <f>P952*E952</f>
        <v>2074.465125</v>
      </c>
      <c r="W952" s="139"/>
      <c r="X952" s="139"/>
      <c r="Y952" s="139"/>
      <c r="Z952" s="139"/>
      <c r="AA952" s="139"/>
      <c r="AB952" s="139"/>
      <c r="AC952" s="139"/>
      <c r="AD952" s="139"/>
      <c r="AE952" s="139"/>
      <c r="AF952" s="140"/>
      <c r="AG952" s="140"/>
      <c r="AH952" s="140"/>
      <c r="AI952" s="140"/>
      <c r="AJ952" s="140"/>
      <c r="AK952" s="140"/>
      <c r="AL952" s="140"/>
      <c r="AM952" s="140"/>
      <c r="AN952" s="140"/>
      <c r="AO952" s="140"/>
      <c r="AP952" s="140"/>
      <c r="AQ952" s="140"/>
      <c r="AR952" s="140"/>
      <c r="AS952" s="140"/>
      <c r="AT952" s="140"/>
      <c r="AU952" s="140"/>
      <c r="AV952" s="140"/>
      <c r="AW952" s="140"/>
      <c r="AX952" s="140"/>
      <c r="AY952" s="140"/>
      <c r="AZ952" s="140"/>
      <c r="BA952" s="140"/>
      <c r="BB952" s="140"/>
      <c r="BC952" s="140"/>
      <c r="BD952" s="140"/>
      <c r="BE952" s="140"/>
    </row>
    <row r="953" s="119" customFormat="1" ht="72" customHeight="1" outlineLevel="2" spans="1:57">
      <c r="A953" s="162">
        <f>1+N(A952)</f>
        <v>4</v>
      </c>
      <c r="B953" s="14" t="s">
        <v>110</v>
      </c>
      <c r="C953" s="15" t="s">
        <v>111</v>
      </c>
      <c r="D953" s="142" t="s">
        <v>63</v>
      </c>
      <c r="E953" s="143">
        <f>136.716+E951*(0.1+0.2)</f>
        <v>141.7032</v>
      </c>
      <c r="F953" s="143">
        <f>$F$32</f>
        <v>45</v>
      </c>
      <c r="G953" s="143">
        <f>$G$32</f>
        <v>85.5</v>
      </c>
      <c r="H953" s="143">
        <f>$H$32</f>
        <v>7.3</v>
      </c>
      <c r="I953" s="17">
        <f>(F953+G953+H953)*$I$3</f>
        <v>13.78</v>
      </c>
      <c r="J953" s="18">
        <f>ROUND(SUM(F953:I953),2)</f>
        <v>151.58</v>
      </c>
      <c r="K953" s="19">
        <f>ROUND(J953*E953,2)</f>
        <v>21479.37</v>
      </c>
      <c r="L953" s="135"/>
      <c r="M953" s="139"/>
      <c r="N953" s="139"/>
      <c r="O953" s="139"/>
      <c r="P953" s="37">
        <f>Q953+Q953*R953+S953+T953+U953</f>
        <v>137.8</v>
      </c>
      <c r="Q953" s="99">
        <f>$Q$32</f>
        <v>85.5</v>
      </c>
      <c r="R953" s="163">
        <f>$R$32</f>
        <v>0</v>
      </c>
      <c r="S953" s="99">
        <f>$S$32</f>
        <v>45</v>
      </c>
      <c r="T953" s="99">
        <f>$T$32</f>
        <v>6.5</v>
      </c>
      <c r="U953" s="99">
        <f>$U$32</f>
        <v>0.8</v>
      </c>
      <c r="V953" s="37">
        <f>P953*E953</f>
        <v>19526.70096</v>
      </c>
      <c r="W953" s="139"/>
      <c r="X953" s="139"/>
      <c r="Y953" s="139"/>
      <c r="Z953" s="139"/>
      <c r="AA953" s="139"/>
      <c r="AB953" s="139"/>
      <c r="AC953" s="139"/>
      <c r="AD953" s="139"/>
      <c r="AE953" s="139"/>
      <c r="AF953" s="140"/>
      <c r="AG953" s="140"/>
      <c r="AH953" s="140"/>
      <c r="AI953" s="140"/>
      <c r="AJ953" s="140"/>
      <c r="AK953" s="140"/>
      <c r="AL953" s="140"/>
      <c r="AM953" s="140"/>
      <c r="AN953" s="140"/>
      <c r="AO953" s="140"/>
      <c r="AP953" s="140"/>
      <c r="AQ953" s="140"/>
      <c r="AR953" s="140"/>
      <c r="AS953" s="140"/>
      <c r="AT953" s="140"/>
      <c r="AU953" s="140"/>
      <c r="AV953" s="140"/>
      <c r="AW953" s="140"/>
      <c r="AX953" s="140"/>
      <c r="AY953" s="140"/>
      <c r="AZ953" s="140"/>
      <c r="BA953" s="140"/>
      <c r="BB953" s="140"/>
      <c r="BC953" s="140"/>
      <c r="BD953" s="140"/>
      <c r="BE953" s="140"/>
    </row>
    <row r="954" s="119" customFormat="1" ht="24" customHeight="1" outlineLevel="1" spans="1:57">
      <c r="A954" s="141"/>
      <c r="B954" s="14" t="s">
        <v>112</v>
      </c>
      <c r="C954" s="15"/>
      <c r="D954" s="142"/>
      <c r="E954" s="143"/>
      <c r="F954" s="143"/>
      <c r="G954" s="143"/>
      <c r="H954" s="143"/>
      <c r="I954" s="143"/>
      <c r="J954" s="143"/>
      <c r="K954" s="144"/>
      <c r="L954" s="135"/>
      <c r="M954" s="139"/>
      <c r="N954" s="139"/>
      <c r="O954" s="139"/>
      <c r="P954" s="137"/>
      <c r="Q954" s="137"/>
      <c r="R954" s="138"/>
      <c r="S954" s="137"/>
      <c r="T954" s="137"/>
      <c r="U954" s="137"/>
      <c r="V954" s="137"/>
      <c r="W954" s="139"/>
      <c r="X954" s="139"/>
      <c r="Y954" s="139"/>
      <c r="Z954" s="139"/>
      <c r="AA954" s="139"/>
      <c r="AB954" s="139"/>
      <c r="AC954" s="139"/>
      <c r="AD954" s="139"/>
      <c r="AE954" s="139"/>
      <c r="AF954" s="140"/>
      <c r="AG954" s="140"/>
      <c r="AH954" s="140"/>
      <c r="AI954" s="140"/>
      <c r="AJ954" s="140"/>
      <c r="AK954" s="140"/>
      <c r="AL954" s="140"/>
      <c r="AM954" s="140"/>
      <c r="AN954" s="140"/>
      <c r="AO954" s="140"/>
      <c r="AP954" s="140"/>
      <c r="AQ954" s="140"/>
      <c r="AR954" s="140"/>
      <c r="AS954" s="140"/>
      <c r="AT954" s="140"/>
      <c r="AU954" s="140"/>
      <c r="AV954" s="140"/>
      <c r="AW954" s="140"/>
      <c r="AX954" s="140"/>
      <c r="AY954" s="140"/>
      <c r="AZ954" s="140"/>
      <c r="BA954" s="140"/>
      <c r="BB954" s="140"/>
      <c r="BC954" s="140"/>
      <c r="BD954" s="140"/>
      <c r="BE954" s="140"/>
    </row>
    <row r="955" s="119" customFormat="1" ht="60" customHeight="1" outlineLevel="2" spans="1:57">
      <c r="A955" s="162">
        <f t="shared" ref="A955:A960" si="297">1+N(A954)</f>
        <v>1</v>
      </c>
      <c r="B955" s="14" t="s">
        <v>440</v>
      </c>
      <c r="C955" s="15" t="s">
        <v>330</v>
      </c>
      <c r="D955" s="142" t="s">
        <v>63</v>
      </c>
      <c r="E955" s="143">
        <f>+(1.65+0.9)*3.185</f>
        <v>8.12175</v>
      </c>
      <c r="F955" s="143">
        <f>$F$932</f>
        <v>145</v>
      </c>
      <c r="G955" s="143">
        <f>$G$932</f>
        <v>2150</v>
      </c>
      <c r="H955" s="143">
        <f>$H$932</f>
        <v>31.5</v>
      </c>
      <c r="I955" s="17">
        <f t="shared" ref="I955:I960" si="298">(F955+G955+H955)*$I$3</f>
        <v>232.65</v>
      </c>
      <c r="J955" s="18">
        <f t="shared" ref="J955:J960" si="299">ROUND(SUM(F955:I955),2)</f>
        <v>2559.15</v>
      </c>
      <c r="K955" s="19">
        <f t="shared" ref="K955:K960" si="300">ROUND(J955*E955,2)</f>
        <v>20784.78</v>
      </c>
      <c r="L955" s="135"/>
      <c r="M955" s="139"/>
      <c r="N955" s="139"/>
      <c r="O955" s="139"/>
      <c r="P955" s="37">
        <f t="shared" ref="P955:P960" si="301">Q955+Q955*R955+S955+T955+U955</f>
        <v>2326.5</v>
      </c>
      <c r="Q955" s="99">
        <f>$Q$932</f>
        <v>2150</v>
      </c>
      <c r="R955" s="163">
        <f>$R$932</f>
        <v>0</v>
      </c>
      <c r="S955" s="99">
        <f>$S$932</f>
        <v>145</v>
      </c>
      <c r="T955" s="99">
        <f>$T$932</f>
        <v>30</v>
      </c>
      <c r="U955" s="99">
        <f>$U$932</f>
        <v>1.5</v>
      </c>
      <c r="V955" s="37">
        <f t="shared" ref="V955:V960" si="302">P955*E955</f>
        <v>18895.251375</v>
      </c>
      <c r="W955" s="139"/>
      <c r="X955" s="139"/>
      <c r="Y955" s="139"/>
      <c r="Z955" s="139"/>
      <c r="AA955" s="139"/>
      <c r="AB955" s="139"/>
      <c r="AC955" s="139"/>
      <c r="AD955" s="139"/>
      <c r="AE955" s="139"/>
      <c r="AF955" s="140"/>
      <c r="AG955" s="140"/>
      <c r="AH955" s="140"/>
      <c r="AI955" s="140"/>
      <c r="AJ955" s="140"/>
      <c r="AK955" s="140"/>
      <c r="AL955" s="140"/>
      <c r="AM955" s="140"/>
      <c r="AN955" s="140"/>
      <c r="AO955" s="140"/>
      <c r="AP955" s="140"/>
      <c r="AQ955" s="140"/>
      <c r="AR955" s="140"/>
      <c r="AS955" s="140"/>
      <c r="AT955" s="140"/>
      <c r="AU955" s="140"/>
      <c r="AV955" s="140"/>
      <c r="AW955" s="140"/>
      <c r="AX955" s="140"/>
      <c r="AY955" s="140"/>
      <c r="AZ955" s="140"/>
      <c r="BA955" s="140"/>
      <c r="BB955" s="140"/>
      <c r="BC955" s="140"/>
      <c r="BD955" s="140"/>
      <c r="BE955" s="140"/>
    </row>
    <row r="956" s="119" customFormat="1" ht="36" customHeight="1" outlineLevel="2" spans="1:57">
      <c r="A956" s="162">
        <f t="shared" si="297"/>
        <v>2</v>
      </c>
      <c r="B956" s="14" t="s">
        <v>441</v>
      </c>
      <c r="C956" s="15" t="s">
        <v>442</v>
      </c>
      <c r="D956" s="142" t="s">
        <v>63</v>
      </c>
      <c r="E956" s="143">
        <f>+(5+5.62)*3.185</f>
        <v>33.8247</v>
      </c>
      <c r="F956" s="143">
        <f>$F$933</f>
        <v>110</v>
      </c>
      <c r="G956" s="143">
        <f>$G$933</f>
        <v>1550</v>
      </c>
      <c r="H956" s="143">
        <f>$H$933</f>
        <v>14</v>
      </c>
      <c r="I956" s="17">
        <f t="shared" si="298"/>
        <v>167.4</v>
      </c>
      <c r="J956" s="18">
        <f t="shared" si="299"/>
        <v>1841.4</v>
      </c>
      <c r="K956" s="19">
        <f t="shared" si="300"/>
        <v>62284.8</v>
      </c>
      <c r="L956" s="135"/>
      <c r="M956" s="139"/>
      <c r="N956" s="139"/>
      <c r="O956" s="139"/>
      <c r="P956" s="37">
        <f t="shared" si="301"/>
        <v>1674</v>
      </c>
      <c r="Q956" s="99">
        <f>$Q$933</f>
        <v>1550</v>
      </c>
      <c r="R956" s="163">
        <f>$R$933</f>
        <v>0</v>
      </c>
      <c r="S956" s="99">
        <f>$S$933</f>
        <v>110</v>
      </c>
      <c r="T956" s="99">
        <f>$T$933</f>
        <v>12</v>
      </c>
      <c r="U956" s="99">
        <f>$U$933</f>
        <v>2</v>
      </c>
      <c r="V956" s="37">
        <f t="shared" si="302"/>
        <v>56622.5478</v>
      </c>
      <c r="W956" s="139"/>
      <c r="X956" s="139"/>
      <c r="Y956" s="139"/>
      <c r="Z956" s="139"/>
      <c r="AA956" s="139"/>
      <c r="AB956" s="139"/>
      <c r="AC956" s="139"/>
      <c r="AD956" s="139"/>
      <c r="AE956" s="139"/>
      <c r="AF956" s="140"/>
      <c r="AG956" s="140"/>
      <c r="AH956" s="140"/>
      <c r="AI956" s="140"/>
      <c r="AJ956" s="140"/>
      <c r="AK956" s="140"/>
      <c r="AL956" s="140"/>
      <c r="AM956" s="140"/>
      <c r="AN956" s="140"/>
      <c r="AO956" s="140"/>
      <c r="AP956" s="140"/>
      <c r="AQ956" s="140"/>
      <c r="AR956" s="140"/>
      <c r="AS956" s="140"/>
      <c r="AT956" s="140"/>
      <c r="AU956" s="140"/>
      <c r="AV956" s="140"/>
      <c r="AW956" s="140"/>
      <c r="AX956" s="140"/>
      <c r="AY956" s="140"/>
      <c r="AZ956" s="140"/>
      <c r="BA956" s="140"/>
      <c r="BB956" s="140"/>
      <c r="BC956" s="140"/>
      <c r="BD956" s="140"/>
      <c r="BE956" s="140"/>
    </row>
    <row r="957" s="119" customFormat="1" ht="48" customHeight="1" outlineLevel="2" spans="1:57">
      <c r="A957" s="162">
        <f t="shared" si="297"/>
        <v>3</v>
      </c>
      <c r="B957" s="14" t="s">
        <v>137</v>
      </c>
      <c r="C957" s="15" t="s">
        <v>138</v>
      </c>
      <c r="D957" s="142" t="s">
        <v>63</v>
      </c>
      <c r="E957" s="143">
        <f>0.8*3.2*4</f>
        <v>10.24</v>
      </c>
      <c r="F957" s="143">
        <f>$F$83</f>
        <v>55</v>
      </c>
      <c r="G957" s="143">
        <f>$G$83</f>
        <v>2325</v>
      </c>
      <c r="H957" s="143">
        <f>$H$83</f>
        <v>16.5</v>
      </c>
      <c r="I957" s="17">
        <f t="shared" si="298"/>
        <v>239.65</v>
      </c>
      <c r="J957" s="18">
        <f t="shared" si="299"/>
        <v>2636.15</v>
      </c>
      <c r="K957" s="19">
        <f t="shared" si="300"/>
        <v>26994.18</v>
      </c>
      <c r="L957" s="135"/>
      <c r="M957" s="139"/>
      <c r="N957" s="139"/>
      <c r="O957" s="139"/>
      <c r="P957" s="37">
        <f t="shared" si="301"/>
        <v>2396.5</v>
      </c>
      <c r="Q957" s="99">
        <f>$Q$83</f>
        <v>2325</v>
      </c>
      <c r="R957" s="163">
        <f>$R$83</f>
        <v>0</v>
      </c>
      <c r="S957" s="99">
        <f>$S$83</f>
        <v>55</v>
      </c>
      <c r="T957" s="99">
        <f>$T$83</f>
        <v>15</v>
      </c>
      <c r="U957" s="99">
        <f>$U$83</f>
        <v>1.5</v>
      </c>
      <c r="V957" s="37">
        <f t="shared" si="302"/>
        <v>24540.16</v>
      </c>
      <c r="W957" s="139"/>
      <c r="X957" s="139"/>
      <c r="Y957" s="139"/>
      <c r="Z957" s="139"/>
      <c r="AA957" s="139"/>
      <c r="AB957" s="139"/>
      <c r="AC957" s="139"/>
      <c r="AD957" s="139"/>
      <c r="AE957" s="139"/>
      <c r="AF957" s="140"/>
      <c r="AG957" s="140"/>
      <c r="AH957" s="140"/>
      <c r="AI957" s="140"/>
      <c r="AJ957" s="140"/>
      <c r="AK957" s="140"/>
      <c r="AL957" s="140"/>
      <c r="AM957" s="140"/>
      <c r="AN957" s="140"/>
      <c r="AO957" s="140"/>
      <c r="AP957" s="140"/>
      <c r="AQ957" s="140"/>
      <c r="AR957" s="140"/>
      <c r="AS957" s="140"/>
      <c r="AT957" s="140"/>
      <c r="AU957" s="140"/>
      <c r="AV957" s="140"/>
      <c r="AW957" s="140"/>
      <c r="AX957" s="140"/>
      <c r="AY957" s="140"/>
      <c r="AZ957" s="140"/>
      <c r="BA957" s="140"/>
      <c r="BB957" s="140"/>
      <c r="BC957" s="140"/>
      <c r="BD957" s="140"/>
      <c r="BE957" s="140"/>
    </row>
    <row r="958" s="119" customFormat="1" ht="60" customHeight="1" outlineLevel="2" spans="1:57">
      <c r="A958" s="145">
        <f t="shared" si="297"/>
        <v>4</v>
      </c>
      <c r="B958" s="146" t="s">
        <v>451</v>
      </c>
      <c r="C958" s="147" t="s">
        <v>452</v>
      </c>
      <c r="D958" s="148" t="s">
        <v>63</v>
      </c>
      <c r="E958" s="149">
        <f>1.76*3.2</f>
        <v>5.632</v>
      </c>
      <c r="F958" s="149">
        <f>S958*$S$1</f>
        <v>35</v>
      </c>
      <c r="G958" s="149">
        <f>Q958*(1+R958)*$Q$1</f>
        <v>2350</v>
      </c>
      <c r="H958" s="149">
        <f>(T958+U958)*$T$1</f>
        <v>52.5</v>
      </c>
      <c r="I958" s="150">
        <f t="shared" si="298"/>
        <v>243.75</v>
      </c>
      <c r="J958" s="151">
        <f t="shared" si="299"/>
        <v>2681.25</v>
      </c>
      <c r="K958" s="152">
        <f t="shared" si="300"/>
        <v>15100.8</v>
      </c>
      <c r="L958" s="153"/>
      <c r="M958" s="139"/>
      <c r="N958" s="139"/>
      <c r="O958" s="139"/>
      <c r="P958" s="37">
        <f t="shared" si="301"/>
        <v>2437.5</v>
      </c>
      <c r="Q958" s="71">
        <v>2350</v>
      </c>
      <c r="R958" s="157">
        <v>0</v>
      </c>
      <c r="S958" s="71">
        <v>35</v>
      </c>
      <c r="T958" s="71">
        <v>51</v>
      </c>
      <c r="U958" s="71">
        <v>1.5</v>
      </c>
      <c r="V958" s="37">
        <f t="shared" si="302"/>
        <v>13728</v>
      </c>
      <c r="W958" s="139"/>
      <c r="X958" s="139"/>
      <c r="Y958" s="139"/>
      <c r="Z958" s="139"/>
      <c r="AA958" s="139"/>
      <c r="AB958" s="139"/>
      <c r="AC958" s="139"/>
      <c r="AD958" s="139"/>
      <c r="AE958" s="139"/>
      <c r="AF958" s="140"/>
      <c r="AG958" s="140"/>
      <c r="AH958" s="140"/>
      <c r="AI958" s="140"/>
      <c r="AJ958" s="140"/>
      <c r="AK958" s="140"/>
      <c r="AL958" s="140"/>
      <c r="AM958" s="140"/>
      <c r="AN958" s="140"/>
      <c r="AO958" s="140"/>
      <c r="AP958" s="140"/>
      <c r="AQ958" s="140"/>
      <c r="AR958" s="140"/>
      <c r="AS958" s="140"/>
      <c r="AT958" s="140"/>
      <c r="AU958" s="140"/>
      <c r="AV958" s="140"/>
      <c r="AW958" s="140"/>
      <c r="AX958" s="140"/>
      <c r="AY958" s="140"/>
      <c r="AZ958" s="140"/>
      <c r="BA958" s="140"/>
      <c r="BB958" s="140"/>
      <c r="BC958" s="140"/>
      <c r="BD958" s="140"/>
      <c r="BE958" s="140"/>
    </row>
    <row r="959" s="119" customFormat="1" ht="48" customHeight="1" outlineLevel="2" spans="1:57">
      <c r="A959" s="145">
        <f t="shared" si="297"/>
        <v>5</v>
      </c>
      <c r="B959" s="146" t="s">
        <v>453</v>
      </c>
      <c r="C959" s="147" t="s">
        <v>454</v>
      </c>
      <c r="D959" s="148" t="s">
        <v>63</v>
      </c>
      <c r="E959" s="149">
        <f>0.9*3.2</f>
        <v>2.88</v>
      </c>
      <c r="F959" s="149">
        <f>S959*$S$1</f>
        <v>35</v>
      </c>
      <c r="G959" s="149">
        <f>Q959*(1+R959)*$Q$1</f>
        <v>2100</v>
      </c>
      <c r="H959" s="149">
        <f>(T959+U959)*$T$1</f>
        <v>52.5</v>
      </c>
      <c r="I959" s="150">
        <f t="shared" si="298"/>
        <v>218.75</v>
      </c>
      <c r="J959" s="151">
        <f t="shared" si="299"/>
        <v>2406.25</v>
      </c>
      <c r="K959" s="152">
        <f t="shared" si="300"/>
        <v>6930</v>
      </c>
      <c r="L959" s="153"/>
      <c r="M959" s="139"/>
      <c r="N959" s="139"/>
      <c r="O959" s="139"/>
      <c r="P959" s="37">
        <f t="shared" si="301"/>
        <v>2187.5</v>
      </c>
      <c r="Q959" s="71">
        <v>2100</v>
      </c>
      <c r="R959" s="157">
        <v>0</v>
      </c>
      <c r="S959" s="71">
        <v>35</v>
      </c>
      <c r="T959" s="71">
        <v>51</v>
      </c>
      <c r="U959" s="71">
        <v>1.5</v>
      </c>
      <c r="V959" s="37">
        <f t="shared" si="302"/>
        <v>6300</v>
      </c>
      <c r="W959" s="139"/>
      <c r="X959" s="139"/>
      <c r="Y959" s="139"/>
      <c r="Z959" s="139"/>
      <c r="AA959" s="139"/>
      <c r="AB959" s="139"/>
      <c r="AC959" s="139"/>
      <c r="AD959" s="139"/>
      <c r="AE959" s="139"/>
      <c r="AF959" s="140"/>
      <c r="AG959" s="140"/>
      <c r="AH959" s="140"/>
      <c r="AI959" s="140"/>
      <c r="AJ959" s="140"/>
      <c r="AK959" s="140"/>
      <c r="AL959" s="140"/>
      <c r="AM959" s="140"/>
      <c r="AN959" s="140"/>
      <c r="AO959" s="140"/>
      <c r="AP959" s="140"/>
      <c r="AQ959" s="140"/>
      <c r="AR959" s="140"/>
      <c r="AS959" s="140"/>
      <c r="AT959" s="140"/>
      <c r="AU959" s="140"/>
      <c r="AV959" s="140"/>
      <c r="AW959" s="140"/>
      <c r="AX959" s="140"/>
      <c r="AY959" s="140"/>
      <c r="AZ959" s="140"/>
      <c r="BA959" s="140"/>
      <c r="BB959" s="140"/>
      <c r="BC959" s="140"/>
      <c r="BD959" s="140"/>
      <c r="BE959" s="140"/>
    </row>
    <row r="960" s="119" customFormat="1" ht="48" customHeight="1" outlineLevel="2" spans="1:57">
      <c r="A960" s="145">
        <f t="shared" si="297"/>
        <v>6</v>
      </c>
      <c r="B960" s="146" t="s">
        <v>455</v>
      </c>
      <c r="C960" s="147" t="s">
        <v>456</v>
      </c>
      <c r="D960" s="148" t="s">
        <v>63</v>
      </c>
      <c r="E960" s="149">
        <f>1.4*3.2</f>
        <v>4.48</v>
      </c>
      <c r="F960" s="149">
        <f>S960*$S$1</f>
        <v>35</v>
      </c>
      <c r="G960" s="149">
        <f>Q960*(1+R960)*$Q$1</f>
        <v>2100</v>
      </c>
      <c r="H960" s="149">
        <f>(T960+U960)*$T$1</f>
        <v>52.5</v>
      </c>
      <c r="I960" s="150">
        <f t="shared" si="298"/>
        <v>218.75</v>
      </c>
      <c r="J960" s="151">
        <f t="shared" si="299"/>
        <v>2406.25</v>
      </c>
      <c r="K960" s="152">
        <f t="shared" si="300"/>
        <v>10780</v>
      </c>
      <c r="L960" s="153"/>
      <c r="M960" s="139"/>
      <c r="N960" s="139"/>
      <c r="O960" s="139"/>
      <c r="P960" s="37">
        <f t="shared" si="301"/>
        <v>2187.5</v>
      </c>
      <c r="Q960" s="71">
        <v>2100</v>
      </c>
      <c r="R960" s="157">
        <v>0</v>
      </c>
      <c r="S960" s="71">
        <v>35</v>
      </c>
      <c r="T960" s="71">
        <v>51</v>
      </c>
      <c r="U960" s="71">
        <v>1.5</v>
      </c>
      <c r="V960" s="37">
        <f t="shared" si="302"/>
        <v>9800</v>
      </c>
      <c r="W960" s="139"/>
      <c r="X960" s="139"/>
      <c r="Y960" s="139"/>
      <c r="Z960" s="139"/>
      <c r="AA960" s="139"/>
      <c r="AB960" s="139"/>
      <c r="AC960" s="139"/>
      <c r="AD960" s="139"/>
      <c r="AE960" s="139"/>
      <c r="AF960" s="140"/>
      <c r="AG960" s="140"/>
      <c r="AH960" s="140"/>
      <c r="AI960" s="140"/>
      <c r="AJ960" s="140"/>
      <c r="AK960" s="140"/>
      <c r="AL960" s="140"/>
      <c r="AM960" s="140"/>
      <c r="AN960" s="140"/>
      <c r="AO960" s="140"/>
      <c r="AP960" s="140"/>
      <c r="AQ960" s="140"/>
      <c r="AR960" s="140"/>
      <c r="AS960" s="140"/>
      <c r="AT960" s="140"/>
      <c r="AU960" s="140"/>
      <c r="AV960" s="140"/>
      <c r="AW960" s="140"/>
      <c r="AX960" s="140"/>
      <c r="AY960" s="140"/>
      <c r="AZ960" s="140"/>
      <c r="BA960" s="140"/>
      <c r="BB960" s="140"/>
      <c r="BC960" s="140"/>
      <c r="BD960" s="140"/>
      <c r="BE960" s="140"/>
    </row>
    <row r="961" s="119" customFormat="1" ht="24" customHeight="1" outlineLevel="1" spans="1:57">
      <c r="A961" s="132" t="s">
        <v>127</v>
      </c>
      <c r="B961" s="179" t="s">
        <v>457</v>
      </c>
      <c r="C961" s="180"/>
      <c r="D961" s="133"/>
      <c r="E961" s="134"/>
      <c r="F961" s="134"/>
      <c r="G961" s="134"/>
      <c r="H961" s="134"/>
      <c r="I961" s="134"/>
      <c r="J961" s="134"/>
      <c r="K961" s="11"/>
      <c r="L961" s="135"/>
      <c r="M961" s="139"/>
      <c r="N961" s="139"/>
      <c r="O961" s="139"/>
      <c r="P961" s="137"/>
      <c r="Q961" s="137"/>
      <c r="R961" s="138"/>
      <c r="S961" s="137"/>
      <c r="T961" s="137"/>
      <c r="U961" s="137"/>
      <c r="V961" s="137"/>
      <c r="W961" s="139"/>
      <c r="X961" s="139"/>
      <c r="Y961" s="139"/>
      <c r="Z961" s="139"/>
      <c r="AA961" s="139"/>
      <c r="AB961" s="139"/>
      <c r="AC961" s="139"/>
      <c r="AD961" s="139"/>
      <c r="AE961" s="139"/>
      <c r="AF961" s="140"/>
      <c r="AG961" s="140"/>
      <c r="AH961" s="140"/>
      <c r="AI961" s="140"/>
      <c r="AJ961" s="140"/>
      <c r="AK961" s="140"/>
      <c r="AL961" s="140"/>
      <c r="AM961" s="140"/>
      <c r="AN961" s="140"/>
      <c r="AO961" s="140"/>
      <c r="AP961" s="140"/>
      <c r="AQ961" s="140"/>
      <c r="AR961" s="140"/>
      <c r="AS961" s="140"/>
      <c r="AT961" s="140"/>
      <c r="AU961" s="140"/>
      <c r="AV961" s="140"/>
      <c r="AW961" s="140"/>
      <c r="AX961" s="140"/>
      <c r="AY961" s="140"/>
      <c r="AZ961" s="140"/>
      <c r="BA961" s="140"/>
      <c r="BB961" s="140"/>
      <c r="BC961" s="140"/>
      <c r="BD961" s="140"/>
      <c r="BE961" s="140"/>
    </row>
    <row r="962" s="119" customFormat="1" ht="24" customHeight="1" outlineLevel="1" spans="1:57">
      <c r="A962" s="141"/>
      <c r="B962" s="14" t="s">
        <v>60</v>
      </c>
      <c r="C962" s="15"/>
      <c r="D962" s="142"/>
      <c r="E962" s="143"/>
      <c r="F962" s="143"/>
      <c r="G962" s="143"/>
      <c r="H962" s="143"/>
      <c r="I962" s="143"/>
      <c r="J962" s="143"/>
      <c r="K962" s="144"/>
      <c r="L962" s="135"/>
      <c r="M962" s="139"/>
      <c r="N962" s="139"/>
      <c r="O962" s="139"/>
      <c r="P962" s="137"/>
      <c r="Q962" s="137"/>
      <c r="R962" s="138"/>
      <c r="S962" s="137"/>
      <c r="T962" s="137"/>
      <c r="U962" s="137"/>
      <c r="V962" s="137"/>
      <c r="W962" s="139"/>
      <c r="X962" s="139"/>
      <c r="Y962" s="139"/>
      <c r="Z962" s="139"/>
      <c r="AA962" s="139"/>
      <c r="AB962" s="139"/>
      <c r="AC962" s="139"/>
      <c r="AD962" s="139"/>
      <c r="AE962" s="139"/>
      <c r="AF962" s="140"/>
      <c r="AG962" s="140"/>
      <c r="AH962" s="140"/>
      <c r="AI962" s="140"/>
      <c r="AJ962" s="140"/>
      <c r="AK962" s="140"/>
      <c r="AL962" s="140"/>
      <c r="AM962" s="140"/>
      <c r="AN962" s="140"/>
      <c r="AO962" s="140"/>
      <c r="AP962" s="140"/>
      <c r="AQ962" s="140"/>
      <c r="AR962" s="140"/>
      <c r="AS962" s="140"/>
      <c r="AT962" s="140"/>
      <c r="AU962" s="140"/>
      <c r="AV962" s="140"/>
      <c r="AW962" s="140"/>
      <c r="AX962" s="140"/>
      <c r="AY962" s="140"/>
      <c r="AZ962" s="140"/>
      <c r="BA962" s="140"/>
      <c r="BB962" s="140"/>
      <c r="BC962" s="140"/>
      <c r="BD962" s="140"/>
      <c r="BE962" s="140"/>
    </row>
    <row r="963" s="119" customFormat="1" ht="96" customHeight="1" outlineLevel="2" spans="1:57">
      <c r="A963" s="162">
        <f>1+N(A962)</f>
        <v>1</v>
      </c>
      <c r="B963" s="14" t="s">
        <v>61</v>
      </c>
      <c r="C963" s="15" t="s">
        <v>62</v>
      </c>
      <c r="D963" s="142" t="s">
        <v>63</v>
      </c>
      <c r="E963" s="143">
        <v>1.557</v>
      </c>
      <c r="F963" s="143">
        <f>$F$7</f>
        <v>130</v>
      </c>
      <c r="G963" s="143">
        <f>$G$7</f>
        <v>628.3</v>
      </c>
      <c r="H963" s="17">
        <f>$H$7</f>
        <v>47.7</v>
      </c>
      <c r="I963" s="17">
        <f>(F963+G963+H963)*$I$3</f>
        <v>80.6</v>
      </c>
      <c r="J963" s="18">
        <f>ROUND(SUM(F963:I963),2)</f>
        <v>886.6</v>
      </c>
      <c r="K963" s="19">
        <f>ROUND(J963*E963,2)</f>
        <v>1380.44</v>
      </c>
      <c r="L963" s="135"/>
      <c r="M963" s="139"/>
      <c r="N963" s="139"/>
      <c r="O963" s="139"/>
      <c r="P963" s="37">
        <f>Q963+Q963*R963+S963+T963+U963</f>
        <v>806</v>
      </c>
      <c r="Q963" s="99">
        <f>$Q$7</f>
        <v>610</v>
      </c>
      <c r="R963" s="163">
        <f>$R$7</f>
        <v>0.03</v>
      </c>
      <c r="S963" s="99">
        <f>$S$7</f>
        <v>130</v>
      </c>
      <c r="T963" s="99">
        <f>$T$7</f>
        <v>46.2</v>
      </c>
      <c r="U963" s="99">
        <f>$U$7</f>
        <v>1.5</v>
      </c>
      <c r="V963" s="37">
        <f>P963*E963</f>
        <v>1254.942</v>
      </c>
      <c r="W963" s="139"/>
      <c r="X963" s="139"/>
      <c r="Y963" s="139"/>
      <c r="Z963" s="139"/>
      <c r="AA963" s="139"/>
      <c r="AB963" s="139"/>
      <c r="AC963" s="139"/>
      <c r="AD963" s="139"/>
      <c r="AE963" s="139"/>
      <c r="AF963" s="140"/>
      <c r="AG963" s="140"/>
      <c r="AH963" s="140"/>
      <c r="AI963" s="140"/>
      <c r="AJ963" s="140"/>
      <c r="AK963" s="140"/>
      <c r="AL963" s="140"/>
      <c r="AM963" s="140"/>
      <c r="AN963" s="140"/>
      <c r="AO963" s="140"/>
      <c r="AP963" s="140"/>
      <c r="AQ963" s="140"/>
      <c r="AR963" s="140"/>
      <c r="AS963" s="140"/>
      <c r="AT963" s="140"/>
      <c r="AU963" s="140"/>
      <c r="AV963" s="140"/>
      <c r="AW963" s="140"/>
      <c r="AX963" s="140"/>
      <c r="AY963" s="140"/>
      <c r="AZ963" s="140"/>
      <c r="BA963" s="140"/>
      <c r="BB963" s="140"/>
      <c r="BC963" s="140"/>
      <c r="BD963" s="140"/>
      <c r="BE963" s="140"/>
    </row>
    <row r="964" s="119" customFormat="1" ht="48" customHeight="1" outlineLevel="2" spans="1:57">
      <c r="A964" s="162">
        <f>1+N(A963)</f>
        <v>2</v>
      </c>
      <c r="B964" s="14" t="s">
        <v>71</v>
      </c>
      <c r="C964" s="15" t="s">
        <v>72</v>
      </c>
      <c r="D964" s="142" t="s">
        <v>63</v>
      </c>
      <c r="E964" s="143">
        <v>1.557</v>
      </c>
      <c r="F964" s="143">
        <f>$F$11</f>
        <v>40</v>
      </c>
      <c r="G964" s="143">
        <f>$G$11</f>
        <v>15</v>
      </c>
      <c r="H964" s="143">
        <f>$H$11</f>
        <v>0.8</v>
      </c>
      <c r="I964" s="17">
        <f>(F964+G964+H964)*$I$3</f>
        <v>5.58</v>
      </c>
      <c r="J964" s="18">
        <f>ROUND(SUM(F964:I964),2)</f>
        <v>61.38</v>
      </c>
      <c r="K964" s="19">
        <f>ROUND(J964*E964,2)</f>
        <v>95.57</v>
      </c>
      <c r="L964" s="135"/>
      <c r="M964" s="139"/>
      <c r="N964" s="139"/>
      <c r="O964" s="139"/>
      <c r="P964" s="37">
        <f>Q964+Q964*R964+S964+T964+U964</f>
        <v>55.8</v>
      </c>
      <c r="Q964" s="99">
        <f>$Q$11</f>
        <v>15</v>
      </c>
      <c r="R964" s="163">
        <f>$R$11</f>
        <v>0</v>
      </c>
      <c r="S964" s="99">
        <f>$S$11</f>
        <v>40</v>
      </c>
      <c r="T964" s="99">
        <f>$T$11</f>
        <v>0.5</v>
      </c>
      <c r="U964" s="99">
        <f>$U$11</f>
        <v>0.3</v>
      </c>
      <c r="V964" s="37">
        <f>P964*E964</f>
        <v>86.8806</v>
      </c>
      <c r="W964" s="139"/>
      <c r="X964" s="139"/>
      <c r="Y964" s="139"/>
      <c r="Z964" s="139"/>
      <c r="AA964" s="139"/>
      <c r="AB964" s="139"/>
      <c r="AC964" s="139"/>
      <c r="AD964" s="139"/>
      <c r="AE964" s="139"/>
      <c r="AF964" s="140"/>
      <c r="AG964" s="140"/>
      <c r="AH964" s="140"/>
      <c r="AI964" s="140"/>
      <c r="AJ964" s="140"/>
      <c r="AK964" s="140"/>
      <c r="AL964" s="140"/>
      <c r="AM964" s="140"/>
      <c r="AN964" s="140"/>
      <c r="AO964" s="140"/>
      <c r="AP964" s="140"/>
      <c r="AQ964" s="140"/>
      <c r="AR964" s="140"/>
      <c r="AS964" s="140"/>
      <c r="AT964" s="140"/>
      <c r="AU964" s="140"/>
      <c r="AV964" s="140"/>
      <c r="AW964" s="140"/>
      <c r="AX964" s="140"/>
      <c r="AY964" s="140"/>
      <c r="AZ964" s="140"/>
      <c r="BA964" s="140"/>
      <c r="BB964" s="140"/>
      <c r="BC964" s="140"/>
      <c r="BD964" s="140"/>
      <c r="BE964" s="140"/>
    </row>
    <row r="965" s="119" customFormat="1" ht="24" customHeight="1" outlineLevel="1" spans="1:57">
      <c r="A965" s="141"/>
      <c r="B965" s="14" t="s">
        <v>73</v>
      </c>
      <c r="C965" s="15"/>
      <c r="D965" s="142"/>
      <c r="E965" s="143"/>
      <c r="F965" s="143"/>
      <c r="G965" s="143"/>
      <c r="H965" s="143"/>
      <c r="I965" s="143"/>
      <c r="J965" s="143"/>
      <c r="K965" s="144"/>
      <c r="L965" s="135"/>
      <c r="M965" s="139"/>
      <c r="N965" s="139"/>
      <c r="O965" s="139"/>
      <c r="P965" s="137"/>
      <c r="Q965" s="137"/>
      <c r="R965" s="138"/>
      <c r="S965" s="137"/>
      <c r="T965" s="137"/>
      <c r="U965" s="137"/>
      <c r="V965" s="137"/>
      <c r="W965" s="139"/>
      <c r="X965" s="139"/>
      <c r="Y965" s="139"/>
      <c r="Z965" s="139"/>
      <c r="AA965" s="139"/>
      <c r="AB965" s="139"/>
      <c r="AC965" s="139"/>
      <c r="AD965" s="139"/>
      <c r="AE965" s="139"/>
      <c r="AF965" s="140"/>
      <c r="AG965" s="140"/>
      <c r="AH965" s="140"/>
      <c r="AI965" s="140"/>
      <c r="AJ965" s="140"/>
      <c r="AK965" s="140"/>
      <c r="AL965" s="140"/>
      <c r="AM965" s="140"/>
      <c r="AN965" s="140"/>
      <c r="AO965" s="140"/>
      <c r="AP965" s="140"/>
      <c r="AQ965" s="140"/>
      <c r="AR965" s="140"/>
      <c r="AS965" s="140"/>
      <c r="AT965" s="140"/>
      <c r="AU965" s="140"/>
      <c r="AV965" s="140"/>
      <c r="AW965" s="140"/>
      <c r="AX965" s="140"/>
      <c r="AY965" s="140"/>
      <c r="AZ965" s="140"/>
      <c r="BA965" s="140"/>
      <c r="BB965" s="140"/>
      <c r="BC965" s="140"/>
      <c r="BD965" s="140"/>
      <c r="BE965" s="140"/>
    </row>
    <row r="966" s="119" customFormat="1" ht="72" customHeight="1" outlineLevel="2" spans="1:57">
      <c r="A966" s="162">
        <f>1+N(A965)</f>
        <v>1</v>
      </c>
      <c r="B966" s="165" t="s">
        <v>80</v>
      </c>
      <c r="C966" s="166" t="s">
        <v>81</v>
      </c>
      <c r="D966" s="142" t="s">
        <v>63</v>
      </c>
      <c r="E966" s="143">
        <v>13.572</v>
      </c>
      <c r="F966" s="143">
        <f>$F$16</f>
        <v>91.5</v>
      </c>
      <c r="G966" s="143">
        <f>$G$16</f>
        <v>5.555</v>
      </c>
      <c r="H966" s="143">
        <f>$H$16</f>
        <v>56.797</v>
      </c>
      <c r="I966" s="17">
        <f>(F966+G966+H966)*$I$3</f>
        <v>15.3852</v>
      </c>
      <c r="J966" s="18">
        <f>ROUND(SUM(F966:I966),2)</f>
        <v>169.24</v>
      </c>
      <c r="K966" s="19">
        <f>ROUND(J966*E966,2)</f>
        <v>2296.93</v>
      </c>
      <c r="L966" s="135"/>
      <c r="M966" s="139"/>
      <c r="N966" s="139"/>
      <c r="O966" s="139"/>
      <c r="P966" s="37">
        <f>Q966+Q966*R966+S966+T966+U966</f>
        <v>153.852</v>
      </c>
      <c r="Q966" s="99">
        <f>$Q$16</f>
        <v>5.5</v>
      </c>
      <c r="R966" s="163">
        <f>$R$16</f>
        <v>0.01</v>
      </c>
      <c r="S966" s="99">
        <f>$S$16</f>
        <v>91.5</v>
      </c>
      <c r="T966" s="99">
        <f>$T$16</f>
        <v>55.997</v>
      </c>
      <c r="U966" s="99">
        <f>$U$16</f>
        <v>0.8</v>
      </c>
      <c r="V966" s="37">
        <f>P966*E966</f>
        <v>2088.079344</v>
      </c>
      <c r="W966" s="139"/>
      <c r="X966" s="139"/>
      <c r="Y966" s="139"/>
      <c r="Z966" s="139"/>
      <c r="AA966" s="139"/>
      <c r="AB966" s="139"/>
      <c r="AC966" s="139"/>
      <c r="AD966" s="139"/>
      <c r="AE966" s="139"/>
      <c r="AF966" s="140"/>
      <c r="AG966" s="140"/>
      <c r="AH966" s="140"/>
      <c r="AI966" s="140"/>
      <c r="AJ966" s="140"/>
      <c r="AK966" s="140"/>
      <c r="AL966" s="140"/>
      <c r="AM966" s="140"/>
      <c r="AN966" s="140"/>
      <c r="AO966" s="140"/>
      <c r="AP966" s="140"/>
      <c r="AQ966" s="140"/>
      <c r="AR966" s="140"/>
      <c r="AS966" s="140"/>
      <c r="AT966" s="140"/>
      <c r="AU966" s="140"/>
      <c r="AV966" s="140"/>
      <c r="AW966" s="140"/>
      <c r="AX966" s="140"/>
      <c r="AY966" s="140"/>
      <c r="AZ966" s="140"/>
      <c r="BA966" s="140"/>
      <c r="BB966" s="140"/>
      <c r="BC966" s="140"/>
      <c r="BD966" s="140"/>
      <c r="BE966" s="140"/>
    </row>
    <row r="967" s="119" customFormat="1" ht="72" customHeight="1" outlineLevel="2" spans="1:57">
      <c r="A967" s="145">
        <f>1+N(A966)</f>
        <v>2</v>
      </c>
      <c r="B967" s="159" t="s">
        <v>458</v>
      </c>
      <c r="C967" s="160" t="s">
        <v>459</v>
      </c>
      <c r="D967" s="159" t="s">
        <v>63</v>
      </c>
      <c r="E967" s="149">
        <v>0.307</v>
      </c>
      <c r="F967" s="149">
        <f>S967*$S$1</f>
        <v>150</v>
      </c>
      <c r="G967" s="149">
        <f>Q967*(1+R967)*$Q$1</f>
        <v>665.38</v>
      </c>
      <c r="H967" s="149">
        <f>(T967+U967)*$T$1</f>
        <v>18.3</v>
      </c>
      <c r="I967" s="150">
        <f>(F967+G967+H967)*$I$3</f>
        <v>83.368</v>
      </c>
      <c r="J967" s="151">
        <f>ROUND(SUM(F967:I967),2)</f>
        <v>917.05</v>
      </c>
      <c r="K967" s="152">
        <f>ROUND(J967*E967,2)</f>
        <v>281.53</v>
      </c>
      <c r="L967" s="153"/>
      <c r="M967" s="139"/>
      <c r="N967" s="139"/>
      <c r="O967" s="139"/>
      <c r="P967" s="37">
        <f>Q967+Q967*R967+S967+T967+U967</f>
        <v>833.68</v>
      </c>
      <c r="Q967" s="71">
        <v>646</v>
      </c>
      <c r="R967" s="157">
        <v>0.03</v>
      </c>
      <c r="S967" s="71">
        <v>150</v>
      </c>
      <c r="T967" s="71">
        <v>16.8</v>
      </c>
      <c r="U967" s="71">
        <v>1.5</v>
      </c>
      <c r="V967" s="37">
        <f>P967*E967</f>
        <v>255.93976</v>
      </c>
      <c r="W967" s="139"/>
      <c r="X967" s="139"/>
      <c r="Y967" s="139"/>
      <c r="Z967" s="139"/>
      <c r="AA967" s="139"/>
      <c r="AB967" s="139"/>
      <c r="AC967" s="139"/>
      <c r="AD967" s="139"/>
      <c r="AE967" s="139"/>
      <c r="AF967" s="140"/>
      <c r="AG967" s="140"/>
      <c r="AH967" s="140"/>
      <c r="AI967" s="140"/>
      <c r="AJ967" s="140"/>
      <c r="AK967" s="140"/>
      <c r="AL967" s="140"/>
      <c r="AM967" s="140"/>
      <c r="AN967" s="140"/>
      <c r="AO967" s="140"/>
      <c r="AP967" s="140"/>
      <c r="AQ967" s="140"/>
      <c r="AR967" s="140"/>
      <c r="AS967" s="140"/>
      <c r="AT967" s="140"/>
      <c r="AU967" s="140"/>
      <c r="AV967" s="140"/>
      <c r="AW967" s="140"/>
      <c r="AX967" s="140"/>
      <c r="AY967" s="140"/>
      <c r="AZ967" s="140"/>
      <c r="BA967" s="140"/>
      <c r="BB967" s="140"/>
      <c r="BC967" s="140"/>
      <c r="BD967" s="140"/>
      <c r="BE967" s="140"/>
    </row>
    <row r="968" s="119" customFormat="1" ht="60" customHeight="1" outlineLevel="2" spans="1:57">
      <c r="A968" s="162">
        <f>1+N(A967)</f>
        <v>3</v>
      </c>
      <c r="B968" s="14" t="s">
        <v>82</v>
      </c>
      <c r="C968" s="15" t="s">
        <v>83</v>
      </c>
      <c r="D968" s="142" t="s">
        <v>63</v>
      </c>
      <c r="E968" s="143">
        <f>+(0.254+0.111)*2*2.4+(0.254+0.111)*0.84</f>
        <v>2.0586</v>
      </c>
      <c r="F968" s="143">
        <f>$F$17</f>
        <v>110</v>
      </c>
      <c r="G968" s="143">
        <f>$G$17</f>
        <v>454.5</v>
      </c>
      <c r="H968" s="143">
        <f>$H$17</f>
        <v>55.2</v>
      </c>
      <c r="I968" s="17">
        <f>(F968+G968+H968)*$I$3</f>
        <v>61.97</v>
      </c>
      <c r="J968" s="18">
        <f>ROUND(SUM(F968:I968),2)</f>
        <v>681.67</v>
      </c>
      <c r="K968" s="19">
        <f>ROUND(J968*E968,2)</f>
        <v>1403.29</v>
      </c>
      <c r="L968" s="135"/>
      <c r="M968" s="139"/>
      <c r="N968" s="139"/>
      <c r="O968" s="139"/>
      <c r="P968" s="37">
        <f>Q968+Q968*R968+S968+T968+U968</f>
        <v>619.7</v>
      </c>
      <c r="Q968" s="99">
        <f>$Q$17</f>
        <v>450</v>
      </c>
      <c r="R968" s="163">
        <f>$R$17</f>
        <v>0.01</v>
      </c>
      <c r="S968" s="99">
        <f>$S$17</f>
        <v>110</v>
      </c>
      <c r="T968" s="99">
        <f>$T$17</f>
        <v>54</v>
      </c>
      <c r="U968" s="99">
        <f>$U$17</f>
        <v>1.2</v>
      </c>
      <c r="V968" s="37">
        <f>P968*E968</f>
        <v>1275.71442</v>
      </c>
      <c r="W968" s="139"/>
      <c r="X968" s="139"/>
      <c r="Y968" s="139"/>
      <c r="Z968" s="139"/>
      <c r="AA968" s="139"/>
      <c r="AB968" s="139"/>
      <c r="AC968" s="139"/>
      <c r="AD968" s="139"/>
      <c r="AE968" s="139"/>
      <c r="AF968" s="140"/>
      <c r="AG968" s="140"/>
      <c r="AH968" s="140"/>
      <c r="AI968" s="140"/>
      <c r="AJ968" s="140"/>
      <c r="AK968" s="140"/>
      <c r="AL968" s="140"/>
      <c r="AM968" s="140"/>
      <c r="AN968" s="140"/>
      <c r="AO968" s="140"/>
      <c r="AP968" s="140"/>
      <c r="AQ968" s="140"/>
      <c r="AR968" s="140"/>
      <c r="AS968" s="140"/>
      <c r="AT968" s="140"/>
      <c r="AU968" s="140"/>
      <c r="AV968" s="140"/>
      <c r="AW968" s="140"/>
      <c r="AX968" s="140"/>
      <c r="AY968" s="140"/>
      <c r="AZ968" s="140"/>
      <c r="BA968" s="140"/>
      <c r="BB968" s="140"/>
      <c r="BC968" s="140"/>
      <c r="BD968" s="140"/>
      <c r="BE968" s="140"/>
    </row>
    <row r="969" s="119" customFormat="1" ht="24" customHeight="1" outlineLevel="1" spans="1:57">
      <c r="A969" s="141"/>
      <c r="B969" s="14" t="s">
        <v>101</v>
      </c>
      <c r="C969" s="15"/>
      <c r="D969" s="142"/>
      <c r="E969" s="143"/>
      <c r="F969" s="143"/>
      <c r="G969" s="143"/>
      <c r="H969" s="143"/>
      <c r="I969" s="143"/>
      <c r="J969" s="143"/>
      <c r="K969" s="144"/>
      <c r="L969" s="135"/>
      <c r="M969" s="139"/>
      <c r="N969" s="139"/>
      <c r="O969" s="139"/>
      <c r="P969" s="137"/>
      <c r="Q969" s="137"/>
      <c r="R969" s="138"/>
      <c r="S969" s="137"/>
      <c r="T969" s="137"/>
      <c r="U969" s="137"/>
      <c r="V969" s="137"/>
      <c r="W969" s="139"/>
      <c r="X969" s="139"/>
      <c r="Y969" s="139"/>
      <c r="Z969" s="139"/>
      <c r="AA969" s="139"/>
      <c r="AB969" s="139"/>
      <c r="AC969" s="139"/>
      <c r="AD969" s="139"/>
      <c r="AE969" s="139"/>
      <c r="AF969" s="140"/>
      <c r="AG969" s="140"/>
      <c r="AH969" s="140"/>
      <c r="AI969" s="140"/>
      <c r="AJ969" s="140"/>
      <c r="AK969" s="140"/>
      <c r="AL969" s="140"/>
      <c r="AM969" s="140"/>
      <c r="AN969" s="140"/>
      <c r="AO969" s="140"/>
      <c r="AP969" s="140"/>
      <c r="AQ969" s="140"/>
      <c r="AR969" s="140"/>
      <c r="AS969" s="140"/>
      <c r="AT969" s="140"/>
      <c r="AU969" s="140"/>
      <c r="AV969" s="140"/>
      <c r="AW969" s="140"/>
      <c r="AX969" s="140"/>
      <c r="AY969" s="140"/>
      <c r="AZ969" s="140"/>
      <c r="BA969" s="140"/>
      <c r="BB969" s="140"/>
      <c r="BC969" s="140"/>
      <c r="BD969" s="140"/>
      <c r="BE969" s="140"/>
    </row>
    <row r="970" s="119" customFormat="1" ht="84" customHeight="1" outlineLevel="2" spans="1:57">
      <c r="A970" s="145">
        <f>1+N(A969)</f>
        <v>1</v>
      </c>
      <c r="B970" s="146" t="s">
        <v>460</v>
      </c>
      <c r="C970" s="161" t="s">
        <v>461</v>
      </c>
      <c r="D970" s="148" t="s">
        <v>63</v>
      </c>
      <c r="E970" s="149">
        <v>1.395</v>
      </c>
      <c r="F970" s="149">
        <f>S970*$S$1</f>
        <v>70</v>
      </c>
      <c r="G970" s="149">
        <f>Q970*(1+R970)*$Q$1</f>
        <v>0</v>
      </c>
      <c r="H970" s="149">
        <f>(T970+U970)*$T$1</f>
        <v>66.711</v>
      </c>
      <c r="I970" s="150">
        <f>(F970+G970+H970)*$I$3</f>
        <v>13.6711</v>
      </c>
      <c r="J970" s="151">
        <f>ROUND(SUM(F970:I970),2)</f>
        <v>150.38</v>
      </c>
      <c r="K970" s="152">
        <f>ROUND(J970*E970,2)</f>
        <v>209.78</v>
      </c>
      <c r="L970" s="153"/>
      <c r="M970" s="139"/>
      <c r="N970" s="139"/>
      <c r="O970" s="139"/>
      <c r="P970" s="37">
        <f>Q970+Q970*R970+S970+T970+U970</f>
        <v>136.711</v>
      </c>
      <c r="Q970" s="71"/>
      <c r="R970" s="157">
        <v>0.01</v>
      </c>
      <c r="S970" s="71">
        <v>70</v>
      </c>
      <c r="T970" s="71">
        <v>64.711</v>
      </c>
      <c r="U970" s="71">
        <v>2</v>
      </c>
      <c r="V970" s="37">
        <f>P970*E970</f>
        <v>190.711845</v>
      </c>
      <c r="W970" s="139"/>
      <c r="X970" s="139"/>
      <c r="Y970" s="139"/>
      <c r="Z970" s="139"/>
      <c r="AA970" s="139"/>
      <c r="AB970" s="139"/>
      <c r="AC970" s="139"/>
      <c r="AD970" s="139"/>
      <c r="AE970" s="139"/>
      <c r="AF970" s="140"/>
      <c r="AG970" s="140"/>
      <c r="AH970" s="140"/>
      <c r="AI970" s="140"/>
      <c r="AJ970" s="140"/>
      <c r="AK970" s="140"/>
      <c r="AL970" s="140"/>
      <c r="AM970" s="140"/>
      <c r="AN970" s="140"/>
      <c r="AO970" s="140"/>
      <c r="AP970" s="140"/>
      <c r="AQ970" s="140"/>
      <c r="AR970" s="140"/>
      <c r="AS970" s="140"/>
      <c r="AT970" s="140"/>
      <c r="AU970" s="140"/>
      <c r="AV970" s="140"/>
      <c r="AW970" s="140"/>
      <c r="AX970" s="140"/>
      <c r="AY970" s="140"/>
      <c r="AZ970" s="140"/>
      <c r="BA970" s="140"/>
      <c r="BB970" s="140"/>
      <c r="BC970" s="140"/>
      <c r="BD970" s="140"/>
      <c r="BE970" s="140"/>
    </row>
    <row r="971" s="119" customFormat="1" ht="72" customHeight="1" outlineLevel="2" spans="1:57">
      <c r="A971" s="162">
        <f>1+N(A970)</f>
        <v>2</v>
      </c>
      <c r="B971" s="14" t="s">
        <v>110</v>
      </c>
      <c r="C971" s="15" t="s">
        <v>111</v>
      </c>
      <c r="D971" s="142" t="s">
        <v>63</v>
      </c>
      <c r="E971" s="143">
        <v>1.395</v>
      </c>
      <c r="F971" s="143">
        <f>$F$32</f>
        <v>45</v>
      </c>
      <c r="G971" s="143">
        <f>$G$32</f>
        <v>85.5</v>
      </c>
      <c r="H971" s="143">
        <f>$H$32</f>
        <v>7.3</v>
      </c>
      <c r="I971" s="17">
        <f>(F971+G971+H971)*$I$3</f>
        <v>13.78</v>
      </c>
      <c r="J971" s="18">
        <f>ROUND(SUM(F971:I971),2)</f>
        <v>151.58</v>
      </c>
      <c r="K971" s="19">
        <f>ROUND(J971*E971,2)</f>
        <v>211.45</v>
      </c>
      <c r="L971" s="135"/>
      <c r="M971" s="139"/>
      <c r="N971" s="139"/>
      <c r="O971" s="139"/>
      <c r="P971" s="37">
        <f>Q971+Q971*R971+S971+T971+U971</f>
        <v>137.8</v>
      </c>
      <c r="Q971" s="99">
        <f>$Q$32</f>
        <v>85.5</v>
      </c>
      <c r="R971" s="163">
        <f>$R$32</f>
        <v>0</v>
      </c>
      <c r="S971" s="99">
        <f>$S$32</f>
        <v>45</v>
      </c>
      <c r="T971" s="99">
        <f>$T$32</f>
        <v>6.5</v>
      </c>
      <c r="U971" s="99">
        <f>$U$32</f>
        <v>0.8</v>
      </c>
      <c r="V971" s="37">
        <f>P971*E971</f>
        <v>192.231</v>
      </c>
      <c r="W971" s="139"/>
      <c r="X971" s="139"/>
      <c r="Y971" s="139"/>
      <c r="Z971" s="139"/>
      <c r="AA971" s="139"/>
      <c r="AB971" s="139"/>
      <c r="AC971" s="139"/>
      <c r="AD971" s="139"/>
      <c r="AE971" s="139"/>
      <c r="AF971" s="140"/>
      <c r="AG971" s="140"/>
      <c r="AH971" s="140"/>
      <c r="AI971" s="140"/>
      <c r="AJ971" s="140"/>
      <c r="AK971" s="140"/>
      <c r="AL971" s="140"/>
      <c r="AM971" s="140"/>
      <c r="AN971" s="140"/>
      <c r="AO971" s="140"/>
      <c r="AP971" s="140"/>
      <c r="AQ971" s="140"/>
      <c r="AR971" s="140"/>
      <c r="AS971" s="140"/>
      <c r="AT971" s="140"/>
      <c r="AU971" s="140"/>
      <c r="AV971" s="140"/>
      <c r="AW971" s="140"/>
      <c r="AX971" s="140"/>
      <c r="AY971" s="140"/>
      <c r="AZ971" s="140"/>
      <c r="BA971" s="140"/>
      <c r="BB971" s="140"/>
      <c r="BC971" s="140"/>
      <c r="BD971" s="140"/>
      <c r="BE971" s="140"/>
    </row>
    <row r="972" s="119" customFormat="1" ht="24" customHeight="1" outlineLevel="1" spans="1:57">
      <c r="A972" s="141"/>
      <c r="B972" s="14" t="s">
        <v>112</v>
      </c>
      <c r="C972" s="15"/>
      <c r="D972" s="142"/>
      <c r="E972" s="143"/>
      <c r="F972" s="143"/>
      <c r="G972" s="143"/>
      <c r="H972" s="143"/>
      <c r="I972" s="143"/>
      <c r="J972" s="143"/>
      <c r="K972" s="144"/>
      <c r="L972" s="135"/>
      <c r="M972" s="139"/>
      <c r="N972" s="139"/>
      <c r="O972" s="139"/>
      <c r="P972" s="137"/>
      <c r="Q972" s="137"/>
      <c r="R972" s="138"/>
      <c r="S972" s="137"/>
      <c r="T972" s="137"/>
      <c r="U972" s="137"/>
      <c r="V972" s="137"/>
      <c r="W972" s="139"/>
      <c r="X972" s="139"/>
      <c r="Y972" s="139"/>
      <c r="Z972" s="139"/>
      <c r="AA972" s="139"/>
      <c r="AB972" s="139"/>
      <c r="AC972" s="139"/>
      <c r="AD972" s="139"/>
      <c r="AE972" s="139"/>
      <c r="AF972" s="140"/>
      <c r="AG972" s="140"/>
      <c r="AH972" s="140"/>
      <c r="AI972" s="140"/>
      <c r="AJ972" s="140"/>
      <c r="AK972" s="140"/>
      <c r="AL972" s="140"/>
      <c r="AM972" s="140"/>
      <c r="AN972" s="140"/>
      <c r="AO972" s="140"/>
      <c r="AP972" s="140"/>
      <c r="AQ972" s="140"/>
      <c r="AR972" s="140"/>
      <c r="AS972" s="140"/>
      <c r="AT972" s="140"/>
      <c r="AU972" s="140"/>
      <c r="AV972" s="140"/>
      <c r="AW972" s="140"/>
      <c r="AX972" s="140"/>
      <c r="AY972" s="140"/>
      <c r="AZ972" s="140"/>
      <c r="BA972" s="140"/>
      <c r="BB972" s="140"/>
      <c r="BC972" s="140"/>
      <c r="BD972" s="140"/>
      <c r="BE972" s="140"/>
    </row>
    <row r="973" s="119" customFormat="1" ht="48" customHeight="1" outlineLevel="2" spans="1:57">
      <c r="A973" s="145">
        <f>1+N(A972)</f>
        <v>1</v>
      </c>
      <c r="B973" s="146" t="s">
        <v>443</v>
      </c>
      <c r="C973" s="147" t="s">
        <v>462</v>
      </c>
      <c r="D973" s="148" t="s">
        <v>63</v>
      </c>
      <c r="E973" s="149">
        <f>0.84*2.4</f>
        <v>2.016</v>
      </c>
      <c r="F973" s="149">
        <f>S973*$S$1</f>
        <v>145</v>
      </c>
      <c r="G973" s="149">
        <f>Q973*(1+R973)*$Q$1</f>
        <v>1250</v>
      </c>
      <c r="H973" s="149">
        <f>(T973+U973)*$T$1</f>
        <v>28.5</v>
      </c>
      <c r="I973" s="150">
        <f>(F973+G973+H973)*$I$3</f>
        <v>142.35</v>
      </c>
      <c r="J973" s="151">
        <f>ROUND(SUM(F973:I973),2)</f>
        <v>1565.85</v>
      </c>
      <c r="K973" s="152">
        <f>ROUND(J973*E973,2)</f>
        <v>3156.75</v>
      </c>
      <c r="L973" s="153"/>
      <c r="M973" s="139"/>
      <c r="N973" s="139"/>
      <c r="O973" s="139"/>
      <c r="P973" s="37">
        <f>Q973+Q973*R973+S973+T973+U973</f>
        <v>1423.5</v>
      </c>
      <c r="Q973" s="71">
        <v>1250</v>
      </c>
      <c r="R973" s="157">
        <v>0</v>
      </c>
      <c r="S973" s="71">
        <v>145</v>
      </c>
      <c r="T973" s="71">
        <v>27</v>
      </c>
      <c r="U973" s="71">
        <v>1.5</v>
      </c>
      <c r="V973" s="37">
        <f>P973*E973</f>
        <v>2869.776</v>
      </c>
      <c r="W973" s="139"/>
      <c r="X973" s="139"/>
      <c r="Y973" s="139"/>
      <c r="Z973" s="139"/>
      <c r="AA973" s="139"/>
      <c r="AB973" s="139"/>
      <c r="AC973" s="139"/>
      <c r="AD973" s="139"/>
      <c r="AE973" s="139"/>
      <c r="AF973" s="140"/>
      <c r="AG973" s="140"/>
      <c r="AH973" s="140"/>
      <c r="AI973" s="140"/>
      <c r="AJ973" s="140"/>
      <c r="AK973" s="140"/>
      <c r="AL973" s="140"/>
      <c r="AM973" s="140"/>
      <c r="AN973" s="140"/>
      <c r="AO973" s="140"/>
      <c r="AP973" s="140"/>
      <c r="AQ973" s="140"/>
      <c r="AR973" s="140"/>
      <c r="AS973" s="140"/>
      <c r="AT973" s="140"/>
      <c r="AU973" s="140"/>
      <c r="AV973" s="140"/>
      <c r="AW973" s="140"/>
      <c r="AX973" s="140"/>
      <c r="AY973" s="140"/>
      <c r="AZ973" s="140"/>
      <c r="BA973" s="140"/>
      <c r="BB973" s="140"/>
      <c r="BC973" s="140"/>
      <c r="BD973" s="140"/>
      <c r="BE973" s="140"/>
    </row>
    <row r="974" s="119" customFormat="1" ht="24" customHeight="1" outlineLevel="1" spans="1:57">
      <c r="A974" s="132" t="s">
        <v>139</v>
      </c>
      <c r="B974" s="179" t="s">
        <v>463</v>
      </c>
      <c r="C974" s="180"/>
      <c r="D974" s="133"/>
      <c r="E974" s="134"/>
      <c r="F974" s="134"/>
      <c r="G974" s="134"/>
      <c r="H974" s="134"/>
      <c r="I974" s="134"/>
      <c r="J974" s="134"/>
      <c r="K974" s="11"/>
      <c r="L974" s="135"/>
      <c r="M974" s="139"/>
      <c r="N974" s="139"/>
      <c r="O974" s="139"/>
      <c r="P974" s="137"/>
      <c r="Q974" s="137"/>
      <c r="R974" s="138"/>
      <c r="S974" s="137"/>
      <c r="T974" s="137"/>
      <c r="U974" s="137"/>
      <c r="V974" s="137"/>
      <c r="W974" s="139"/>
      <c r="X974" s="139"/>
      <c r="Y974" s="139"/>
      <c r="Z974" s="139"/>
      <c r="AA974" s="139"/>
      <c r="AB974" s="139"/>
      <c r="AC974" s="139"/>
      <c r="AD974" s="139"/>
      <c r="AE974" s="139"/>
      <c r="AF974" s="140"/>
      <c r="AG974" s="140"/>
      <c r="AH974" s="140"/>
      <c r="AI974" s="140"/>
      <c r="AJ974" s="140"/>
      <c r="AK974" s="140"/>
      <c r="AL974" s="140"/>
      <c r="AM974" s="140"/>
      <c r="AN974" s="140"/>
      <c r="AO974" s="140"/>
      <c r="AP974" s="140"/>
      <c r="AQ974" s="140"/>
      <c r="AR974" s="140"/>
      <c r="AS974" s="140"/>
      <c r="AT974" s="140"/>
      <c r="AU974" s="140"/>
      <c r="AV974" s="140"/>
      <c r="AW974" s="140"/>
      <c r="AX974" s="140"/>
      <c r="AY974" s="140"/>
      <c r="AZ974" s="140"/>
      <c r="BA974" s="140"/>
      <c r="BB974" s="140"/>
      <c r="BC974" s="140"/>
      <c r="BD974" s="140"/>
      <c r="BE974" s="140"/>
    </row>
    <row r="975" s="119" customFormat="1" ht="24" customHeight="1" outlineLevel="1" spans="1:57">
      <c r="A975" s="141"/>
      <c r="B975" s="14" t="s">
        <v>60</v>
      </c>
      <c r="C975" s="15"/>
      <c r="D975" s="142"/>
      <c r="E975" s="143"/>
      <c r="F975" s="143"/>
      <c r="G975" s="143"/>
      <c r="H975" s="143"/>
      <c r="I975" s="143"/>
      <c r="J975" s="143"/>
      <c r="K975" s="144"/>
      <c r="L975" s="135"/>
      <c r="M975" s="139"/>
      <c r="N975" s="139"/>
      <c r="O975" s="139"/>
      <c r="P975" s="137"/>
      <c r="Q975" s="137"/>
      <c r="R975" s="138"/>
      <c r="S975" s="137"/>
      <c r="T975" s="137"/>
      <c r="U975" s="137"/>
      <c r="V975" s="137"/>
      <c r="W975" s="139"/>
      <c r="X975" s="139"/>
      <c r="Y975" s="139"/>
      <c r="Z975" s="139"/>
      <c r="AA975" s="139"/>
      <c r="AB975" s="139"/>
      <c r="AC975" s="139"/>
      <c r="AD975" s="139"/>
      <c r="AE975" s="139"/>
      <c r="AF975" s="140"/>
      <c r="AG975" s="140"/>
      <c r="AH975" s="140"/>
      <c r="AI975" s="140"/>
      <c r="AJ975" s="140"/>
      <c r="AK975" s="140"/>
      <c r="AL975" s="140"/>
      <c r="AM975" s="140"/>
      <c r="AN975" s="140"/>
      <c r="AO975" s="140"/>
      <c r="AP975" s="140"/>
      <c r="AQ975" s="140"/>
      <c r="AR975" s="140"/>
      <c r="AS975" s="140"/>
      <c r="AT975" s="140"/>
      <c r="AU975" s="140"/>
      <c r="AV975" s="140"/>
      <c r="AW975" s="140"/>
      <c r="AX975" s="140"/>
      <c r="AY975" s="140"/>
      <c r="AZ975" s="140"/>
      <c r="BA975" s="140"/>
      <c r="BB975" s="140"/>
      <c r="BC975" s="140"/>
      <c r="BD975" s="140"/>
      <c r="BE975" s="140"/>
    </row>
    <row r="976" s="119" customFormat="1" ht="96" customHeight="1" outlineLevel="2" spans="1:57">
      <c r="A976" s="162">
        <f>1+N(A975)</f>
        <v>1</v>
      </c>
      <c r="B976" s="14" t="s">
        <v>61</v>
      </c>
      <c r="C976" s="15" t="s">
        <v>62</v>
      </c>
      <c r="D976" s="142" t="s">
        <v>63</v>
      </c>
      <c r="E976" s="143">
        <v>28.515</v>
      </c>
      <c r="F976" s="143">
        <f>$F$7</f>
        <v>130</v>
      </c>
      <c r="G976" s="143">
        <f>$G$7</f>
        <v>628.3</v>
      </c>
      <c r="H976" s="17">
        <f>$H$7</f>
        <v>47.7</v>
      </c>
      <c r="I976" s="17">
        <f>(F976+G976+H976)*$I$3</f>
        <v>80.6</v>
      </c>
      <c r="J976" s="18">
        <f>ROUND(SUM(F976:I976),2)</f>
        <v>886.6</v>
      </c>
      <c r="K976" s="19">
        <f>ROUND(J976*E976,2)</f>
        <v>25281.4</v>
      </c>
      <c r="L976" s="135"/>
      <c r="M976" s="139"/>
      <c r="N976" s="139"/>
      <c r="O976" s="139"/>
      <c r="P976" s="37">
        <f>Q976+Q976*R976+S976+T976+U976</f>
        <v>806</v>
      </c>
      <c r="Q976" s="99">
        <f>$Q$7</f>
        <v>610</v>
      </c>
      <c r="R976" s="163">
        <f>$R$7</f>
        <v>0.03</v>
      </c>
      <c r="S976" s="99">
        <f>$S$7</f>
        <v>130</v>
      </c>
      <c r="T976" s="99">
        <f>$T$7</f>
        <v>46.2</v>
      </c>
      <c r="U976" s="99">
        <f>$U$7</f>
        <v>1.5</v>
      </c>
      <c r="V976" s="37">
        <f>P976*E976</f>
        <v>22983.09</v>
      </c>
      <c r="W976" s="139"/>
      <c r="X976" s="139"/>
      <c r="Y976" s="139"/>
      <c r="Z976" s="139"/>
      <c r="AA976" s="139"/>
      <c r="AB976" s="139"/>
      <c r="AC976" s="139"/>
      <c r="AD976" s="139"/>
      <c r="AE976" s="139"/>
      <c r="AF976" s="140"/>
      <c r="AG976" s="140"/>
      <c r="AH976" s="140"/>
      <c r="AI976" s="140"/>
      <c r="AJ976" s="140"/>
      <c r="AK976" s="140"/>
      <c r="AL976" s="140"/>
      <c r="AM976" s="140"/>
      <c r="AN976" s="140"/>
      <c r="AO976" s="140"/>
      <c r="AP976" s="140"/>
      <c r="AQ976" s="140"/>
      <c r="AR976" s="140"/>
      <c r="AS976" s="140"/>
      <c r="AT976" s="140"/>
      <c r="AU976" s="140"/>
      <c r="AV976" s="140"/>
      <c r="AW976" s="140"/>
      <c r="AX976" s="140"/>
      <c r="AY976" s="140"/>
      <c r="AZ976" s="140"/>
      <c r="BA976" s="140"/>
      <c r="BB976" s="140"/>
      <c r="BC976" s="140"/>
      <c r="BD976" s="140"/>
      <c r="BE976" s="140"/>
    </row>
    <row r="977" s="119" customFormat="1" ht="48" customHeight="1" outlineLevel="2" spans="1:57">
      <c r="A977" s="162">
        <f>1+N(A976)</f>
        <v>2</v>
      </c>
      <c r="B977" s="14" t="s">
        <v>71</v>
      </c>
      <c r="C977" s="15" t="s">
        <v>72</v>
      </c>
      <c r="D977" s="142" t="s">
        <v>63</v>
      </c>
      <c r="E977" s="143">
        <v>28.515</v>
      </c>
      <c r="F977" s="143">
        <f>$F$11</f>
        <v>40</v>
      </c>
      <c r="G977" s="143">
        <f>$G$11</f>
        <v>15</v>
      </c>
      <c r="H977" s="143">
        <f>$H$11</f>
        <v>0.8</v>
      </c>
      <c r="I977" s="17">
        <f>(F977+G977+H977)*$I$3</f>
        <v>5.58</v>
      </c>
      <c r="J977" s="18">
        <f>ROUND(SUM(F977:I977),2)</f>
        <v>61.38</v>
      </c>
      <c r="K977" s="19">
        <f>ROUND(J977*E977,2)</f>
        <v>1750.25</v>
      </c>
      <c r="L977" s="135"/>
      <c r="M977" s="139"/>
      <c r="N977" s="139"/>
      <c r="O977" s="139"/>
      <c r="P977" s="37">
        <f>Q977+Q977*R977+S977+T977+U977</f>
        <v>55.8</v>
      </c>
      <c r="Q977" s="99">
        <f>$Q$11</f>
        <v>15</v>
      </c>
      <c r="R977" s="163">
        <f>$R$11</f>
        <v>0</v>
      </c>
      <c r="S977" s="99">
        <f>$S$11</f>
        <v>40</v>
      </c>
      <c r="T977" s="99">
        <f>$T$11</f>
        <v>0.5</v>
      </c>
      <c r="U977" s="99">
        <f>$U$11</f>
        <v>0.3</v>
      </c>
      <c r="V977" s="37">
        <f>P977*E977</f>
        <v>1591.137</v>
      </c>
      <c r="W977" s="139"/>
      <c r="X977" s="139"/>
      <c r="Y977" s="139"/>
      <c r="Z977" s="139"/>
      <c r="AA977" s="139"/>
      <c r="AB977" s="139"/>
      <c r="AC977" s="139"/>
      <c r="AD977" s="139"/>
      <c r="AE977" s="139"/>
      <c r="AF977" s="140"/>
      <c r="AG977" s="140"/>
      <c r="AH977" s="140"/>
      <c r="AI977" s="140"/>
      <c r="AJ977" s="140"/>
      <c r="AK977" s="140"/>
      <c r="AL977" s="140"/>
      <c r="AM977" s="140"/>
      <c r="AN977" s="140"/>
      <c r="AO977" s="140"/>
      <c r="AP977" s="140"/>
      <c r="AQ977" s="140"/>
      <c r="AR977" s="140"/>
      <c r="AS977" s="140"/>
      <c r="AT977" s="140"/>
      <c r="AU977" s="140"/>
      <c r="AV977" s="140"/>
      <c r="AW977" s="140"/>
      <c r="AX977" s="140"/>
      <c r="AY977" s="140"/>
      <c r="AZ977" s="140"/>
      <c r="BA977" s="140"/>
      <c r="BB977" s="140"/>
      <c r="BC977" s="140"/>
      <c r="BD977" s="140"/>
      <c r="BE977" s="140"/>
    </row>
    <row r="978" s="119" customFormat="1" ht="24" customHeight="1" outlineLevel="1" spans="1:57">
      <c r="A978" s="141"/>
      <c r="B978" s="14" t="s">
        <v>73</v>
      </c>
      <c r="C978" s="15"/>
      <c r="D978" s="142"/>
      <c r="E978" s="143"/>
      <c r="F978" s="143"/>
      <c r="G978" s="143"/>
      <c r="H978" s="143"/>
      <c r="I978" s="143"/>
      <c r="J978" s="143"/>
      <c r="K978" s="144"/>
      <c r="L978" s="135"/>
      <c r="M978" s="139"/>
      <c r="N978" s="139"/>
      <c r="O978" s="139"/>
      <c r="P978" s="137"/>
      <c r="Q978" s="137"/>
      <c r="R978" s="138"/>
      <c r="S978" s="137"/>
      <c r="T978" s="137"/>
      <c r="U978" s="137"/>
      <c r="V978" s="137"/>
      <c r="W978" s="139"/>
      <c r="X978" s="139"/>
      <c r="Y978" s="139"/>
      <c r="Z978" s="139"/>
      <c r="AA978" s="139"/>
      <c r="AB978" s="139"/>
      <c r="AC978" s="139"/>
      <c r="AD978" s="139"/>
      <c r="AE978" s="139"/>
      <c r="AF978" s="140"/>
      <c r="AG978" s="140"/>
      <c r="AH978" s="140"/>
      <c r="AI978" s="140"/>
      <c r="AJ978" s="140"/>
      <c r="AK978" s="140"/>
      <c r="AL978" s="140"/>
      <c r="AM978" s="140"/>
      <c r="AN978" s="140"/>
      <c r="AO978" s="140"/>
      <c r="AP978" s="140"/>
      <c r="AQ978" s="140"/>
      <c r="AR978" s="140"/>
      <c r="AS978" s="140"/>
      <c r="AT978" s="140"/>
      <c r="AU978" s="140"/>
      <c r="AV978" s="140"/>
      <c r="AW978" s="140"/>
      <c r="AX978" s="140"/>
      <c r="AY978" s="140"/>
      <c r="AZ978" s="140"/>
      <c r="BA978" s="140"/>
      <c r="BB978" s="140"/>
      <c r="BC978" s="140"/>
      <c r="BD978" s="140"/>
      <c r="BE978" s="140"/>
    </row>
    <row r="979" s="119" customFormat="1" ht="72" customHeight="1" outlineLevel="2" spans="1:57">
      <c r="A979" s="145">
        <f t="shared" ref="A979:A984" si="303">1+N(A978)</f>
        <v>1</v>
      </c>
      <c r="B979" s="146" t="s">
        <v>464</v>
      </c>
      <c r="C979" s="147" t="s">
        <v>465</v>
      </c>
      <c r="D979" s="148" t="s">
        <v>63</v>
      </c>
      <c r="E979" s="149">
        <v>84.597</v>
      </c>
      <c r="F979" s="149">
        <f>S979*$S$1</f>
        <v>95</v>
      </c>
      <c r="G979" s="149">
        <f>Q979*(1+R979)*$Q$1</f>
        <v>620</v>
      </c>
      <c r="H979" s="149">
        <f>(T979+U979)*$T$1</f>
        <v>18.3</v>
      </c>
      <c r="I979" s="150">
        <f t="shared" ref="I979:I984" si="304">(F979+G979+H979)*$I$3</f>
        <v>73.33</v>
      </c>
      <c r="J979" s="151">
        <f t="shared" ref="J979:J984" si="305">ROUND(SUM(F979:I979),2)</f>
        <v>806.63</v>
      </c>
      <c r="K979" s="152">
        <f t="shared" ref="K979:K984" si="306">ROUND(J979*E979,2)</f>
        <v>68238.48</v>
      </c>
      <c r="L979" s="153"/>
      <c r="M979" s="139"/>
      <c r="N979" s="139"/>
      <c r="O979" s="139"/>
      <c r="P979" s="37">
        <f t="shared" ref="P979:P984" si="307">Q979+Q979*R979+S979+T979+U979</f>
        <v>733.3</v>
      </c>
      <c r="Q979" s="71">
        <v>620</v>
      </c>
      <c r="R979" s="157">
        <v>0</v>
      </c>
      <c r="S979" s="71">
        <v>95</v>
      </c>
      <c r="T979" s="71">
        <v>16.8</v>
      </c>
      <c r="U979" s="71">
        <v>1.5</v>
      </c>
      <c r="V979" s="37">
        <f t="shared" ref="V979:V984" si="308">P979*E979</f>
        <v>62034.9801</v>
      </c>
      <c r="W979" s="139"/>
      <c r="X979" s="139"/>
      <c r="Y979" s="139"/>
      <c r="Z979" s="139"/>
      <c r="AA979" s="139"/>
      <c r="AB979" s="139"/>
      <c r="AC979" s="139"/>
      <c r="AD979" s="139"/>
      <c r="AE979" s="139"/>
      <c r="AF979" s="140"/>
      <c r="AG979" s="140"/>
      <c r="AH979" s="140"/>
      <c r="AI979" s="140"/>
      <c r="AJ979" s="140"/>
      <c r="AK979" s="140"/>
      <c r="AL979" s="140"/>
      <c r="AM979" s="140"/>
      <c r="AN979" s="140"/>
      <c r="AO979" s="140"/>
      <c r="AP979" s="140"/>
      <c r="AQ979" s="140"/>
      <c r="AR979" s="140"/>
      <c r="AS979" s="140"/>
      <c r="AT979" s="140"/>
      <c r="AU979" s="140"/>
      <c r="AV979" s="140"/>
      <c r="AW979" s="140"/>
      <c r="AX979" s="140"/>
      <c r="AY979" s="140"/>
      <c r="AZ979" s="140"/>
      <c r="BA979" s="140"/>
      <c r="BB979" s="140"/>
      <c r="BC979" s="140"/>
      <c r="BD979" s="140"/>
      <c r="BE979" s="140"/>
    </row>
    <row r="980" s="119" customFormat="1" ht="36" customHeight="1" outlineLevel="2" spans="1:57">
      <c r="A980" s="145">
        <f t="shared" si="303"/>
        <v>2</v>
      </c>
      <c r="B980" s="146" t="s">
        <v>466</v>
      </c>
      <c r="C980" s="147" t="s">
        <v>467</v>
      </c>
      <c r="D980" s="148" t="s">
        <v>63</v>
      </c>
      <c r="E980" s="149">
        <v>36</v>
      </c>
      <c r="F980" s="149">
        <f>S980*$S$1</f>
        <v>76.5</v>
      </c>
      <c r="G980" s="149">
        <f>Q980*(1+R980)*$Q$1</f>
        <v>92</v>
      </c>
      <c r="H980" s="149">
        <f>(T980+U980)*$T$1</f>
        <v>57</v>
      </c>
      <c r="I980" s="150">
        <f t="shared" si="304"/>
        <v>22.55</v>
      </c>
      <c r="J980" s="151">
        <f t="shared" si="305"/>
        <v>248.05</v>
      </c>
      <c r="K980" s="152">
        <f t="shared" si="306"/>
        <v>8929.8</v>
      </c>
      <c r="L980" s="153"/>
      <c r="M980" s="139"/>
      <c r="N980" s="139"/>
      <c r="O980" s="139"/>
      <c r="P980" s="37">
        <f t="shared" si="307"/>
        <v>225.5</v>
      </c>
      <c r="Q980" s="71">
        <v>80</v>
      </c>
      <c r="R980" s="157">
        <v>0.15</v>
      </c>
      <c r="S980" s="71">
        <v>76.5</v>
      </c>
      <c r="T980" s="71">
        <v>56.5</v>
      </c>
      <c r="U980" s="71">
        <v>0.5</v>
      </c>
      <c r="V980" s="37">
        <f t="shared" si="308"/>
        <v>8118</v>
      </c>
      <c r="W980" s="139"/>
      <c r="X980" s="139"/>
      <c r="Y980" s="139"/>
      <c r="Z980" s="139"/>
      <c r="AA980" s="139"/>
      <c r="AB980" s="139"/>
      <c r="AC980" s="139"/>
      <c r="AD980" s="139"/>
      <c r="AE980" s="139"/>
      <c r="AF980" s="140"/>
      <c r="AG980" s="140"/>
      <c r="AH980" s="140"/>
      <c r="AI980" s="140"/>
      <c r="AJ980" s="140"/>
      <c r="AK980" s="140"/>
      <c r="AL980" s="140"/>
      <c r="AM980" s="140"/>
      <c r="AN980" s="140"/>
      <c r="AO980" s="140"/>
      <c r="AP980" s="140"/>
      <c r="AQ980" s="140"/>
      <c r="AR980" s="140"/>
      <c r="AS980" s="140"/>
      <c r="AT980" s="140"/>
      <c r="AU980" s="140"/>
      <c r="AV980" s="140"/>
      <c r="AW980" s="140"/>
      <c r="AX980" s="140"/>
      <c r="AY980" s="140"/>
      <c r="AZ980" s="140"/>
      <c r="BA980" s="140"/>
      <c r="BB980" s="140"/>
      <c r="BC980" s="140"/>
      <c r="BD980" s="140"/>
      <c r="BE980" s="140"/>
    </row>
    <row r="981" s="119" customFormat="1" ht="24" customHeight="1" outlineLevel="2" spans="1:57">
      <c r="A981" s="162">
        <f t="shared" si="303"/>
        <v>3</v>
      </c>
      <c r="B981" s="14" t="s">
        <v>193</v>
      </c>
      <c r="C981" s="15" t="s">
        <v>194</v>
      </c>
      <c r="D981" s="142" t="s">
        <v>63</v>
      </c>
      <c r="E981" s="143">
        <f>+(27.09+25.27)*3</f>
        <v>157.08</v>
      </c>
      <c r="F981" s="143">
        <f>$F$219</f>
        <v>18</v>
      </c>
      <c r="G981" s="143">
        <f>$G$219</f>
        <v>22.725</v>
      </c>
      <c r="H981" s="143">
        <f>$H$219</f>
        <v>0.3</v>
      </c>
      <c r="I981" s="17">
        <f t="shared" si="304"/>
        <v>4.1025</v>
      </c>
      <c r="J981" s="18">
        <f t="shared" si="305"/>
        <v>45.13</v>
      </c>
      <c r="K981" s="19">
        <f t="shared" si="306"/>
        <v>7089.02</v>
      </c>
      <c r="L981" s="135"/>
      <c r="M981" s="139"/>
      <c r="N981" s="139"/>
      <c r="O981" s="139"/>
      <c r="P981" s="37">
        <f t="shared" si="307"/>
        <v>41.025</v>
      </c>
      <c r="Q981" s="99">
        <f>$Q$219</f>
        <v>22.5</v>
      </c>
      <c r="R981" s="163">
        <f>$R$219</f>
        <v>0.01</v>
      </c>
      <c r="S981" s="99">
        <f>$S$219</f>
        <v>18</v>
      </c>
      <c r="T981" s="99">
        <f>$T$219</f>
        <v>0</v>
      </c>
      <c r="U981" s="99">
        <f>$U$219</f>
        <v>0.3</v>
      </c>
      <c r="V981" s="37">
        <f t="shared" si="308"/>
        <v>6444.207</v>
      </c>
      <c r="W981" s="139"/>
      <c r="X981" s="139"/>
      <c r="Y981" s="139"/>
      <c r="Z981" s="139"/>
      <c r="AA981" s="139"/>
      <c r="AB981" s="139"/>
      <c r="AC981" s="139"/>
      <c r="AD981" s="139"/>
      <c r="AE981" s="139"/>
      <c r="AF981" s="140"/>
      <c r="AG981" s="140"/>
      <c r="AH981" s="140"/>
      <c r="AI981" s="140"/>
      <c r="AJ981" s="140"/>
      <c r="AK981" s="140"/>
      <c r="AL981" s="140"/>
      <c r="AM981" s="140"/>
      <c r="AN981" s="140"/>
      <c r="AO981" s="140"/>
      <c r="AP981" s="140"/>
      <c r="AQ981" s="140"/>
      <c r="AR981" s="140"/>
      <c r="AS981" s="140"/>
      <c r="AT981" s="140"/>
      <c r="AU981" s="140"/>
      <c r="AV981" s="140"/>
      <c r="AW981" s="140"/>
      <c r="AX981" s="140"/>
      <c r="AY981" s="140"/>
      <c r="AZ981" s="140"/>
      <c r="BA981" s="140"/>
      <c r="BB981" s="140"/>
      <c r="BC981" s="140"/>
      <c r="BD981" s="140"/>
      <c r="BE981" s="140"/>
    </row>
    <row r="982" s="119" customFormat="1" ht="48" customHeight="1" outlineLevel="2" spans="1:57">
      <c r="A982" s="162">
        <f t="shared" si="303"/>
        <v>4</v>
      </c>
      <c r="B982" s="14" t="s">
        <v>91</v>
      </c>
      <c r="C982" s="15" t="s">
        <v>92</v>
      </c>
      <c r="D982" s="142" t="s">
        <v>70</v>
      </c>
      <c r="E982" s="143">
        <v>13.384</v>
      </c>
      <c r="F982" s="143">
        <f>$F$22</f>
        <v>12</v>
      </c>
      <c r="G982" s="143">
        <f>$G$22</f>
        <v>25.75</v>
      </c>
      <c r="H982" s="143">
        <f>$H$22</f>
        <v>3.8</v>
      </c>
      <c r="I982" s="17">
        <f t="shared" si="304"/>
        <v>4.155</v>
      </c>
      <c r="J982" s="18">
        <f t="shared" si="305"/>
        <v>45.71</v>
      </c>
      <c r="K982" s="19">
        <f t="shared" si="306"/>
        <v>611.78</v>
      </c>
      <c r="L982" s="135"/>
      <c r="M982" s="139"/>
      <c r="N982" s="139"/>
      <c r="O982" s="139"/>
      <c r="P982" s="37">
        <f t="shared" si="307"/>
        <v>41.55</v>
      </c>
      <c r="Q982" s="99">
        <f>$Q$22</f>
        <v>25</v>
      </c>
      <c r="R982" s="163">
        <f>$R$22</f>
        <v>0.03</v>
      </c>
      <c r="S982" s="99">
        <f>$S$22</f>
        <v>12</v>
      </c>
      <c r="T982" s="99">
        <f>$T$22</f>
        <v>3.5</v>
      </c>
      <c r="U982" s="99">
        <f>$U$22</f>
        <v>0.3</v>
      </c>
      <c r="V982" s="37">
        <f t="shared" si="308"/>
        <v>556.1052</v>
      </c>
      <c r="W982" s="139"/>
      <c r="X982" s="139"/>
      <c r="Y982" s="139"/>
      <c r="Z982" s="139"/>
      <c r="AA982" s="139"/>
      <c r="AB982" s="139"/>
      <c r="AC982" s="139"/>
      <c r="AD982" s="139"/>
      <c r="AE982" s="139"/>
      <c r="AF982" s="140"/>
      <c r="AG982" s="140"/>
      <c r="AH982" s="140"/>
      <c r="AI982" s="140"/>
      <c r="AJ982" s="140"/>
      <c r="AK982" s="140"/>
      <c r="AL982" s="140"/>
      <c r="AM982" s="140"/>
      <c r="AN982" s="140"/>
      <c r="AO982" s="140"/>
      <c r="AP982" s="140"/>
      <c r="AQ982" s="140"/>
      <c r="AR982" s="140"/>
      <c r="AS982" s="140"/>
      <c r="AT982" s="140"/>
      <c r="AU982" s="140"/>
      <c r="AV982" s="140"/>
      <c r="AW982" s="140"/>
      <c r="AX982" s="140"/>
      <c r="AY982" s="140"/>
      <c r="AZ982" s="140"/>
      <c r="BA982" s="140"/>
      <c r="BB982" s="140"/>
      <c r="BC982" s="140"/>
      <c r="BD982" s="140"/>
      <c r="BE982" s="140"/>
    </row>
    <row r="983" s="119" customFormat="1" ht="48" customHeight="1" outlineLevel="2" spans="1:57">
      <c r="A983" s="162">
        <f t="shared" si="303"/>
        <v>5</v>
      </c>
      <c r="B983" s="14" t="s">
        <v>99</v>
      </c>
      <c r="C983" s="15" t="s">
        <v>100</v>
      </c>
      <c r="D983" s="142" t="s">
        <v>70</v>
      </c>
      <c r="E983" s="143">
        <v>19.752</v>
      </c>
      <c r="F983" s="143">
        <f>$F$26</f>
        <v>12</v>
      </c>
      <c r="G983" s="143">
        <f>$G$26</f>
        <v>23.4325</v>
      </c>
      <c r="H983" s="143">
        <f>$H$26</f>
        <v>3.8</v>
      </c>
      <c r="I983" s="17">
        <f t="shared" si="304"/>
        <v>3.92325</v>
      </c>
      <c r="J983" s="18">
        <f t="shared" si="305"/>
        <v>43.16</v>
      </c>
      <c r="K983" s="19">
        <f t="shared" si="306"/>
        <v>852.5</v>
      </c>
      <c r="L983" s="135"/>
      <c r="M983" s="139"/>
      <c r="N983" s="139"/>
      <c r="O983" s="139"/>
      <c r="P983" s="37">
        <f t="shared" si="307"/>
        <v>39.2325</v>
      </c>
      <c r="Q983" s="99">
        <f>$Q$26</f>
        <v>22.75</v>
      </c>
      <c r="R983" s="163">
        <f>$R$26</f>
        <v>0.03</v>
      </c>
      <c r="S983" s="99">
        <f>$S$26</f>
        <v>12</v>
      </c>
      <c r="T983" s="99">
        <f>$T$26</f>
        <v>3.5</v>
      </c>
      <c r="U983" s="99">
        <f>$U$26</f>
        <v>0.3</v>
      </c>
      <c r="V983" s="37">
        <f t="shared" si="308"/>
        <v>774.92034</v>
      </c>
      <c r="W983" s="139"/>
      <c r="X983" s="139"/>
      <c r="Y983" s="139"/>
      <c r="Z983" s="139"/>
      <c r="AA983" s="139"/>
      <c r="AB983" s="139"/>
      <c r="AC983" s="139"/>
      <c r="AD983" s="139"/>
      <c r="AE983" s="139"/>
      <c r="AF983" s="140"/>
      <c r="AG983" s="140"/>
      <c r="AH983" s="140"/>
      <c r="AI983" s="140"/>
      <c r="AJ983" s="140"/>
      <c r="AK983" s="140"/>
      <c r="AL983" s="140"/>
      <c r="AM983" s="140"/>
      <c r="AN983" s="140"/>
      <c r="AO983" s="140"/>
      <c r="AP983" s="140"/>
      <c r="AQ983" s="140"/>
      <c r="AR983" s="140"/>
      <c r="AS983" s="140"/>
      <c r="AT983" s="140"/>
      <c r="AU983" s="140"/>
      <c r="AV983" s="140"/>
      <c r="AW983" s="140"/>
      <c r="AX983" s="140"/>
      <c r="AY983" s="140"/>
      <c r="AZ983" s="140"/>
      <c r="BA983" s="140"/>
      <c r="BB983" s="140"/>
      <c r="BC983" s="140"/>
      <c r="BD983" s="140"/>
      <c r="BE983" s="140"/>
    </row>
    <row r="984" s="119" customFormat="1" ht="48" customHeight="1" outlineLevel="2" spans="1:57">
      <c r="A984" s="162">
        <f t="shared" si="303"/>
        <v>6</v>
      </c>
      <c r="B984" s="14" t="s">
        <v>82</v>
      </c>
      <c r="C984" s="15" t="s">
        <v>83</v>
      </c>
      <c r="D984" s="142" t="s">
        <v>63</v>
      </c>
      <c r="E984" s="143">
        <f>0.202*3*2*6</f>
        <v>7.272</v>
      </c>
      <c r="F984" s="143">
        <f>$F$17</f>
        <v>110</v>
      </c>
      <c r="G984" s="143">
        <f>$G$17</f>
        <v>454.5</v>
      </c>
      <c r="H984" s="143">
        <f>$H$17</f>
        <v>55.2</v>
      </c>
      <c r="I984" s="17">
        <f t="shared" si="304"/>
        <v>61.97</v>
      </c>
      <c r="J984" s="18">
        <f t="shared" si="305"/>
        <v>681.67</v>
      </c>
      <c r="K984" s="19">
        <f t="shared" si="306"/>
        <v>4957.1</v>
      </c>
      <c r="L984" s="135"/>
      <c r="M984" s="139"/>
      <c r="N984" s="139"/>
      <c r="O984" s="139"/>
      <c r="P984" s="37">
        <f t="shared" si="307"/>
        <v>619.7</v>
      </c>
      <c r="Q984" s="99">
        <f>$Q$17</f>
        <v>450</v>
      </c>
      <c r="R984" s="163">
        <f>$R$17</f>
        <v>0.01</v>
      </c>
      <c r="S984" s="99">
        <f>$S$17</f>
        <v>110</v>
      </c>
      <c r="T984" s="99">
        <f>$T$17</f>
        <v>54</v>
      </c>
      <c r="U984" s="99">
        <f>$U$17</f>
        <v>1.2</v>
      </c>
      <c r="V984" s="37">
        <f t="shared" si="308"/>
        <v>4506.4584</v>
      </c>
      <c r="W984" s="139"/>
      <c r="X984" s="139"/>
      <c r="Y984" s="139"/>
      <c r="Z984" s="139"/>
      <c r="AA984" s="139"/>
      <c r="AB984" s="139"/>
      <c r="AC984" s="139"/>
      <c r="AD984" s="139"/>
      <c r="AE984" s="139"/>
      <c r="AF984" s="140"/>
      <c r="AG984" s="140"/>
      <c r="AH984" s="140"/>
      <c r="AI984" s="140"/>
      <c r="AJ984" s="140"/>
      <c r="AK984" s="140"/>
      <c r="AL984" s="140"/>
      <c r="AM984" s="140"/>
      <c r="AN984" s="140"/>
      <c r="AO984" s="140"/>
      <c r="AP984" s="140"/>
      <c r="AQ984" s="140"/>
      <c r="AR984" s="140"/>
      <c r="AS984" s="140"/>
      <c r="AT984" s="140"/>
      <c r="AU984" s="140"/>
      <c r="AV984" s="140"/>
      <c r="AW984" s="140"/>
      <c r="AX984" s="140"/>
      <c r="AY984" s="140"/>
      <c r="AZ984" s="140"/>
      <c r="BA984" s="140"/>
      <c r="BB984" s="140"/>
      <c r="BC984" s="140"/>
      <c r="BD984" s="140"/>
      <c r="BE984" s="140"/>
    </row>
    <row r="985" s="119" customFormat="1" ht="24" customHeight="1" outlineLevel="1" spans="1:57">
      <c r="A985" s="141"/>
      <c r="B985" s="14" t="s">
        <v>101</v>
      </c>
      <c r="C985" s="15"/>
      <c r="D985" s="142"/>
      <c r="E985" s="143"/>
      <c r="F985" s="143"/>
      <c r="G985" s="143"/>
      <c r="H985" s="143"/>
      <c r="I985" s="143"/>
      <c r="J985" s="143"/>
      <c r="K985" s="144"/>
      <c r="L985" s="135"/>
      <c r="M985" s="139"/>
      <c r="N985" s="139"/>
      <c r="O985" s="139"/>
      <c r="P985" s="137"/>
      <c r="Q985" s="137"/>
      <c r="R985" s="138"/>
      <c r="S985" s="137"/>
      <c r="T985" s="137"/>
      <c r="U985" s="137"/>
      <c r="V985" s="137"/>
      <c r="W985" s="139"/>
      <c r="X985" s="139"/>
      <c r="Y985" s="139"/>
      <c r="Z985" s="139"/>
      <c r="AA985" s="139"/>
      <c r="AB985" s="139"/>
      <c r="AC985" s="139"/>
      <c r="AD985" s="139"/>
      <c r="AE985" s="139"/>
      <c r="AF985" s="140"/>
      <c r="AG985" s="140"/>
      <c r="AH985" s="140"/>
      <c r="AI985" s="140"/>
      <c r="AJ985" s="140"/>
      <c r="AK985" s="140"/>
      <c r="AL985" s="140"/>
      <c r="AM985" s="140"/>
      <c r="AN985" s="140"/>
      <c r="AO985" s="140"/>
      <c r="AP985" s="140"/>
      <c r="AQ985" s="140"/>
      <c r="AR985" s="140"/>
      <c r="AS985" s="140"/>
      <c r="AT985" s="140"/>
      <c r="AU985" s="140"/>
      <c r="AV985" s="140"/>
      <c r="AW985" s="140"/>
      <c r="AX985" s="140"/>
      <c r="AY985" s="140"/>
      <c r="AZ985" s="140"/>
      <c r="BA985" s="140"/>
      <c r="BB985" s="140"/>
      <c r="BC985" s="140"/>
      <c r="BD985" s="140"/>
      <c r="BE985" s="140"/>
    </row>
    <row r="986" s="119" customFormat="1" ht="96" customHeight="1" outlineLevel="2" spans="1:57">
      <c r="A986" s="162">
        <f>1+N(A985)</f>
        <v>1</v>
      </c>
      <c r="B986" s="14" t="s">
        <v>102</v>
      </c>
      <c r="C986" s="167" t="s">
        <v>103</v>
      </c>
      <c r="D986" s="142" t="s">
        <v>63</v>
      </c>
      <c r="E986" s="143">
        <v>29.531</v>
      </c>
      <c r="F986" s="143">
        <f>$F$28</f>
        <v>70</v>
      </c>
      <c r="G986" s="143">
        <f>$G$28</f>
        <v>0</v>
      </c>
      <c r="H986" s="143">
        <f>$H$28</f>
        <v>66.711</v>
      </c>
      <c r="I986" s="17">
        <f>(F986+G986+H986)*$I$3</f>
        <v>13.6711</v>
      </c>
      <c r="J986" s="18">
        <f>ROUND(SUM(F986:I986),2)</f>
        <v>150.38</v>
      </c>
      <c r="K986" s="19">
        <f>ROUND(J986*E986,2)</f>
        <v>4440.87</v>
      </c>
      <c r="L986" s="135"/>
      <c r="M986" s="139"/>
      <c r="N986" s="139"/>
      <c r="O986" s="139"/>
      <c r="P986" s="37">
        <f>Q986+Q986*R986+S986+T986+U986</f>
        <v>136.711</v>
      </c>
      <c r="Q986" s="99">
        <f>$Q$28</f>
        <v>0</v>
      </c>
      <c r="R986" s="163">
        <f>$R$28</f>
        <v>0.01</v>
      </c>
      <c r="S986" s="99">
        <f>$S$28</f>
        <v>70</v>
      </c>
      <c r="T986" s="99">
        <f>$T$28</f>
        <v>64.711</v>
      </c>
      <c r="U986" s="99">
        <f>$U$28</f>
        <v>2</v>
      </c>
      <c r="V986" s="37">
        <f>P986*E986</f>
        <v>4037.212541</v>
      </c>
      <c r="W986" s="139"/>
      <c r="X986" s="139"/>
      <c r="Y986" s="139"/>
      <c r="Z986" s="139"/>
      <c r="AA986" s="139"/>
      <c r="AB986" s="139"/>
      <c r="AC986" s="139"/>
      <c r="AD986" s="139"/>
      <c r="AE986" s="139"/>
      <c r="AF986" s="140"/>
      <c r="AG986" s="140"/>
      <c r="AH986" s="140"/>
      <c r="AI986" s="140"/>
      <c r="AJ986" s="140"/>
      <c r="AK986" s="140"/>
      <c r="AL986" s="140"/>
      <c r="AM986" s="140"/>
      <c r="AN986" s="140"/>
      <c r="AO986" s="140"/>
      <c r="AP986" s="140"/>
      <c r="AQ986" s="140"/>
      <c r="AR986" s="140"/>
      <c r="AS986" s="140"/>
      <c r="AT986" s="140"/>
      <c r="AU986" s="140"/>
      <c r="AV986" s="140"/>
      <c r="AW986" s="140"/>
      <c r="AX986" s="140"/>
      <c r="AY986" s="140"/>
      <c r="AZ986" s="140"/>
      <c r="BA986" s="140"/>
      <c r="BB986" s="140"/>
      <c r="BC986" s="140"/>
      <c r="BD986" s="140"/>
      <c r="BE986" s="140"/>
    </row>
    <row r="987" s="119" customFormat="1" ht="72" customHeight="1" outlineLevel="2" spans="1:57">
      <c r="A987" s="162">
        <f>1+N(A986)</f>
        <v>2</v>
      </c>
      <c r="B987" s="14" t="s">
        <v>104</v>
      </c>
      <c r="C987" s="15" t="s">
        <v>105</v>
      </c>
      <c r="D987" s="142" t="s">
        <v>70</v>
      </c>
      <c r="E987" s="143">
        <v>15.08</v>
      </c>
      <c r="F987" s="143">
        <f>$F$29</f>
        <v>50</v>
      </c>
      <c r="G987" s="143">
        <f>$G$29</f>
        <v>0</v>
      </c>
      <c r="H987" s="143">
        <f>$H$29</f>
        <v>22.0941</v>
      </c>
      <c r="I987" s="17">
        <f>(F987+G987+H987)*$I$3</f>
        <v>7.20941</v>
      </c>
      <c r="J987" s="18">
        <f>ROUND(SUM(F987:I987),2)</f>
        <v>79.3</v>
      </c>
      <c r="K987" s="19">
        <f>ROUND(J987*E987,2)</f>
        <v>1195.84</v>
      </c>
      <c r="L987" s="135"/>
      <c r="M987" s="139"/>
      <c r="N987" s="139"/>
      <c r="O987" s="139"/>
      <c r="P987" s="37">
        <f>Q987+Q987*R987+S987+T987+U987</f>
        <v>72.0941</v>
      </c>
      <c r="Q987" s="99">
        <f>$Q$29</f>
        <v>0</v>
      </c>
      <c r="R987" s="163">
        <f>$R$29</f>
        <v>0.01</v>
      </c>
      <c r="S987" s="99">
        <f>$S$29</f>
        <v>50</v>
      </c>
      <c r="T987" s="99">
        <f>$T$29</f>
        <v>22.0941</v>
      </c>
      <c r="U987" s="99">
        <f>$U$29</f>
        <v>0</v>
      </c>
      <c r="V987" s="37">
        <f>P987*E987</f>
        <v>1087.179028</v>
      </c>
      <c r="W987" s="139"/>
      <c r="X987" s="139"/>
      <c r="Y987" s="139"/>
      <c r="Z987" s="139"/>
      <c r="AA987" s="139"/>
      <c r="AB987" s="139"/>
      <c r="AC987" s="139"/>
      <c r="AD987" s="139"/>
      <c r="AE987" s="139"/>
      <c r="AF987" s="140"/>
      <c r="AG987" s="140"/>
      <c r="AH987" s="140"/>
      <c r="AI987" s="140"/>
      <c r="AJ987" s="140"/>
      <c r="AK987" s="140"/>
      <c r="AL987" s="140"/>
      <c r="AM987" s="140"/>
      <c r="AN987" s="140"/>
      <c r="AO987" s="140"/>
      <c r="AP987" s="140"/>
      <c r="AQ987" s="140"/>
      <c r="AR987" s="140"/>
      <c r="AS987" s="140"/>
      <c r="AT987" s="140"/>
      <c r="AU987" s="140"/>
      <c r="AV987" s="140"/>
      <c r="AW987" s="140"/>
      <c r="AX987" s="140"/>
      <c r="AY987" s="140"/>
      <c r="AZ987" s="140"/>
      <c r="BA987" s="140"/>
      <c r="BB987" s="140"/>
      <c r="BC987" s="140"/>
      <c r="BD987" s="140"/>
      <c r="BE987" s="140"/>
    </row>
    <row r="988" s="119" customFormat="1" ht="72" customHeight="1" outlineLevel="2" spans="1:57">
      <c r="A988" s="162">
        <f>1+N(A987)</f>
        <v>3</v>
      </c>
      <c r="B988" s="14" t="s">
        <v>292</v>
      </c>
      <c r="C988" s="15" t="s">
        <v>293</v>
      </c>
      <c r="D988" s="142" t="s">
        <v>70</v>
      </c>
      <c r="E988" s="143">
        <f>(0.75*2+0.9*2+1.8*2+1.5+0.8*2)*2</f>
        <v>20</v>
      </c>
      <c r="F988" s="143">
        <f>$F$528</f>
        <v>30</v>
      </c>
      <c r="G988" s="143">
        <f>$G$528</f>
        <v>65.6625</v>
      </c>
      <c r="H988" s="143">
        <f>$H$528</f>
        <v>2.7</v>
      </c>
      <c r="I988" s="17">
        <f>(F988+G988+H988)*$I$3</f>
        <v>9.83625</v>
      </c>
      <c r="J988" s="18">
        <f>ROUND(SUM(F988:I988),2)</f>
        <v>108.2</v>
      </c>
      <c r="K988" s="19">
        <f>ROUND(J988*E988,2)</f>
        <v>2164</v>
      </c>
      <c r="L988" s="135"/>
      <c r="M988" s="139"/>
      <c r="N988" s="139"/>
      <c r="O988" s="139"/>
      <c r="P988" s="37">
        <f>Q988+Q988*R988+S988+T988+U988</f>
        <v>98.3625</v>
      </c>
      <c r="Q988" s="99">
        <f>$Q$528</f>
        <v>63.75</v>
      </c>
      <c r="R988" s="163">
        <f>$R$528</f>
        <v>0.03</v>
      </c>
      <c r="S988" s="99">
        <f>$S$528</f>
        <v>30</v>
      </c>
      <c r="T988" s="99">
        <f>$T$528</f>
        <v>2.5</v>
      </c>
      <c r="U988" s="99">
        <f>$U$528</f>
        <v>0.2</v>
      </c>
      <c r="V988" s="37">
        <f>P988*E988</f>
        <v>1967.25</v>
      </c>
      <c r="W988" s="139"/>
      <c r="X988" s="139"/>
      <c r="Y988" s="139"/>
      <c r="Z988" s="139"/>
      <c r="AA988" s="139"/>
      <c r="AB988" s="139"/>
      <c r="AC988" s="139"/>
      <c r="AD988" s="139"/>
      <c r="AE988" s="139"/>
      <c r="AF988" s="140"/>
      <c r="AG988" s="140"/>
      <c r="AH988" s="140"/>
      <c r="AI988" s="140"/>
      <c r="AJ988" s="140"/>
      <c r="AK988" s="140"/>
      <c r="AL988" s="140"/>
      <c r="AM988" s="140"/>
      <c r="AN988" s="140"/>
      <c r="AO988" s="140"/>
      <c r="AP988" s="140"/>
      <c r="AQ988" s="140"/>
      <c r="AR988" s="140"/>
      <c r="AS988" s="140"/>
      <c r="AT988" s="140"/>
      <c r="AU988" s="140"/>
      <c r="AV988" s="140"/>
      <c r="AW988" s="140"/>
      <c r="AX988" s="140"/>
      <c r="AY988" s="140"/>
      <c r="AZ988" s="140"/>
      <c r="BA988" s="140"/>
      <c r="BB988" s="140"/>
      <c r="BC988" s="140"/>
      <c r="BD988" s="140"/>
      <c r="BE988" s="140"/>
    </row>
    <row r="989" s="119" customFormat="1" ht="60" customHeight="1" outlineLevel="2" spans="1:57">
      <c r="A989" s="162">
        <f>1+N(A988)</f>
        <v>4</v>
      </c>
      <c r="B989" s="14" t="s">
        <v>145</v>
      </c>
      <c r="C989" s="15" t="s">
        <v>146</v>
      </c>
      <c r="D989" s="142" t="s">
        <v>63</v>
      </c>
      <c r="E989" s="143">
        <v>34.96</v>
      </c>
      <c r="F989" s="143">
        <f>$F$122</f>
        <v>28.5</v>
      </c>
      <c r="G989" s="143">
        <f>$G$122</f>
        <v>5.5</v>
      </c>
      <c r="H989" s="143">
        <f>$H$122</f>
        <v>6.8</v>
      </c>
      <c r="I989" s="17">
        <f>(F989+G989+H989)*$I$3</f>
        <v>4.08</v>
      </c>
      <c r="J989" s="18">
        <f>ROUND(SUM(F989:I989),2)</f>
        <v>44.88</v>
      </c>
      <c r="K989" s="19">
        <f>ROUND(J989*E989,2)</f>
        <v>1569</v>
      </c>
      <c r="L989" s="135"/>
      <c r="M989" s="139"/>
      <c r="N989" s="139"/>
      <c r="O989" s="139"/>
      <c r="P989" s="37">
        <f>Q989+Q989*R989+S989+T989+U989</f>
        <v>40.8</v>
      </c>
      <c r="Q989" s="99">
        <f>$Q$122</f>
        <v>5.5</v>
      </c>
      <c r="R989" s="163">
        <f>$R$122</f>
        <v>0</v>
      </c>
      <c r="S989" s="99">
        <f>$S$122</f>
        <v>28.5</v>
      </c>
      <c r="T989" s="99">
        <f>$T$122</f>
        <v>6.5</v>
      </c>
      <c r="U989" s="99">
        <f>$U$122</f>
        <v>0.3</v>
      </c>
      <c r="V989" s="37">
        <f>P989*E989</f>
        <v>1426.368</v>
      </c>
      <c r="W989" s="139"/>
      <c r="X989" s="139"/>
      <c r="Y989" s="139"/>
      <c r="Z989" s="139"/>
      <c r="AA989" s="139"/>
      <c r="AB989" s="139"/>
      <c r="AC989" s="139"/>
      <c r="AD989" s="139"/>
      <c r="AE989" s="139"/>
      <c r="AF989" s="140"/>
      <c r="AG989" s="140"/>
      <c r="AH989" s="140"/>
      <c r="AI989" s="140"/>
      <c r="AJ989" s="140"/>
      <c r="AK989" s="140"/>
      <c r="AL989" s="140"/>
      <c r="AM989" s="140"/>
      <c r="AN989" s="140"/>
      <c r="AO989" s="140"/>
      <c r="AP989" s="140"/>
      <c r="AQ989" s="140"/>
      <c r="AR989" s="140"/>
      <c r="AS989" s="140"/>
      <c r="AT989" s="140"/>
      <c r="AU989" s="140"/>
      <c r="AV989" s="140"/>
      <c r="AW989" s="140"/>
      <c r="AX989" s="140"/>
      <c r="AY989" s="140"/>
      <c r="AZ989" s="140"/>
      <c r="BA989" s="140"/>
      <c r="BB989" s="140"/>
      <c r="BC989" s="140"/>
      <c r="BD989" s="140"/>
      <c r="BE989" s="140"/>
    </row>
    <row r="990" s="119" customFormat="1" ht="24" customHeight="1" outlineLevel="1" spans="1:57">
      <c r="A990" s="141"/>
      <c r="B990" s="14" t="s">
        <v>294</v>
      </c>
      <c r="C990" s="15"/>
      <c r="D990" s="142"/>
      <c r="E990" s="143"/>
      <c r="F990" s="143"/>
      <c r="G990" s="143"/>
      <c r="H990" s="143"/>
      <c r="I990" s="143"/>
      <c r="J990" s="143"/>
      <c r="K990" s="144"/>
      <c r="L990" s="135"/>
      <c r="M990" s="139"/>
      <c r="N990" s="139"/>
      <c r="O990" s="139"/>
      <c r="P990" s="137"/>
      <c r="Q990" s="137"/>
      <c r="R990" s="138"/>
      <c r="S990" s="137"/>
      <c r="T990" s="137"/>
      <c r="U990" s="137"/>
      <c r="V990" s="137"/>
      <c r="W990" s="139"/>
      <c r="X990" s="139"/>
      <c r="Y990" s="139"/>
      <c r="Z990" s="139"/>
      <c r="AA990" s="139"/>
      <c r="AB990" s="139"/>
      <c r="AC990" s="139"/>
      <c r="AD990" s="139"/>
      <c r="AE990" s="139"/>
      <c r="AF990" s="140"/>
      <c r="AG990" s="140"/>
      <c r="AH990" s="140"/>
      <c r="AI990" s="140"/>
      <c r="AJ990" s="140"/>
      <c r="AK990" s="140"/>
      <c r="AL990" s="140"/>
      <c r="AM990" s="140"/>
      <c r="AN990" s="140"/>
      <c r="AO990" s="140"/>
      <c r="AP990" s="140"/>
      <c r="AQ990" s="140"/>
      <c r="AR990" s="140"/>
      <c r="AS990" s="140"/>
      <c r="AT990" s="140"/>
      <c r="AU990" s="140"/>
      <c r="AV990" s="140"/>
      <c r="AW990" s="140"/>
      <c r="AX990" s="140"/>
      <c r="AY990" s="140"/>
      <c r="AZ990" s="140"/>
      <c r="BA990" s="140"/>
      <c r="BB990" s="140"/>
      <c r="BC990" s="140"/>
      <c r="BD990" s="140"/>
      <c r="BE990" s="140"/>
    </row>
    <row r="991" s="119" customFormat="1" ht="60" customHeight="1" outlineLevel="2" spans="1:57">
      <c r="A991" s="145">
        <f>1+N(A990)</f>
        <v>1</v>
      </c>
      <c r="B991" s="146" t="s">
        <v>468</v>
      </c>
      <c r="C991" s="147" t="s">
        <v>469</v>
      </c>
      <c r="D991" s="148" t="s">
        <v>63</v>
      </c>
      <c r="E991" s="149">
        <f>0.85*3*2</f>
        <v>5.1</v>
      </c>
      <c r="F991" s="149">
        <f>S991*$S$1</f>
        <v>145</v>
      </c>
      <c r="G991" s="149">
        <f>Q991*(1+R991)*$Q$1</f>
        <v>1250</v>
      </c>
      <c r="H991" s="149">
        <f>(T991+U991)*$T$1</f>
        <v>28.5</v>
      </c>
      <c r="I991" s="150">
        <f>(F991+G991+H991)*$I$3</f>
        <v>142.35</v>
      </c>
      <c r="J991" s="151">
        <f>ROUND(SUM(F991:I991),2)</f>
        <v>1565.85</v>
      </c>
      <c r="K991" s="152">
        <f>ROUND(J991*E991,2)</f>
        <v>7985.84</v>
      </c>
      <c r="L991" s="153"/>
      <c r="M991" s="139"/>
      <c r="N991" s="139"/>
      <c r="O991" s="139"/>
      <c r="P991" s="37">
        <f>Q991+Q991*R991+S991+T991+U991</f>
        <v>1423.5</v>
      </c>
      <c r="Q991" s="71">
        <v>1250</v>
      </c>
      <c r="R991" s="157">
        <v>0</v>
      </c>
      <c r="S991" s="71">
        <v>145</v>
      </c>
      <c r="T991" s="71">
        <v>27</v>
      </c>
      <c r="U991" s="71">
        <v>1.5</v>
      </c>
      <c r="V991" s="37">
        <f>P991*E991</f>
        <v>7259.85</v>
      </c>
      <c r="W991" s="139"/>
      <c r="X991" s="139"/>
      <c r="Y991" s="139"/>
      <c r="Z991" s="139"/>
      <c r="AA991" s="139"/>
      <c r="AB991" s="139"/>
      <c r="AC991" s="139"/>
      <c r="AD991" s="139"/>
      <c r="AE991" s="139"/>
      <c r="AF991" s="140"/>
      <c r="AG991" s="140"/>
      <c r="AH991" s="140"/>
      <c r="AI991" s="140"/>
      <c r="AJ991" s="140"/>
      <c r="AK991" s="140"/>
      <c r="AL991" s="140"/>
      <c r="AM991" s="140"/>
      <c r="AN991" s="140"/>
      <c r="AO991" s="140"/>
      <c r="AP991" s="140"/>
      <c r="AQ991" s="140"/>
      <c r="AR991" s="140"/>
      <c r="AS991" s="140"/>
      <c r="AT991" s="140"/>
      <c r="AU991" s="140"/>
      <c r="AV991" s="140"/>
      <c r="AW991" s="140"/>
      <c r="AX991" s="140"/>
      <c r="AY991" s="140"/>
      <c r="AZ991" s="140"/>
      <c r="BA991" s="140"/>
      <c r="BB991" s="140"/>
      <c r="BC991" s="140"/>
      <c r="BD991" s="140"/>
      <c r="BE991" s="140"/>
    </row>
    <row r="992" s="119" customFormat="1" ht="48" customHeight="1" outlineLevel="2" spans="1:57">
      <c r="A992" s="145">
        <f>1+N(A991)</f>
        <v>2</v>
      </c>
      <c r="B992" s="146" t="s">
        <v>470</v>
      </c>
      <c r="C992" s="147" t="s">
        <v>471</v>
      </c>
      <c r="D992" s="148" t="s">
        <v>63</v>
      </c>
      <c r="E992" s="149">
        <f>0.8*3*6</f>
        <v>14.4</v>
      </c>
      <c r="F992" s="149">
        <f>S992*$S$1</f>
        <v>42</v>
      </c>
      <c r="G992" s="149">
        <f>Q992*(1+R992)*$Q$1</f>
        <v>235</v>
      </c>
      <c r="H992" s="149">
        <f>(T992+U992)*$T$1</f>
        <v>14</v>
      </c>
      <c r="I992" s="150">
        <f>(F992+G992+H992)*$I$3</f>
        <v>29.1</v>
      </c>
      <c r="J992" s="151">
        <f>ROUND(SUM(F992:I992),2)</f>
        <v>320.1</v>
      </c>
      <c r="K992" s="152">
        <f>ROUND(J992*E992,2)</f>
        <v>4609.44</v>
      </c>
      <c r="L992" s="153"/>
      <c r="M992" s="139"/>
      <c r="N992" s="139"/>
      <c r="O992" s="139"/>
      <c r="P992" s="37">
        <f>Q992+Q992*R992+S992+T992+U992</f>
        <v>291</v>
      </c>
      <c r="Q992" s="71">
        <v>235</v>
      </c>
      <c r="R992" s="157">
        <v>0</v>
      </c>
      <c r="S992" s="71">
        <v>42</v>
      </c>
      <c r="T992" s="71">
        <v>12</v>
      </c>
      <c r="U992" s="71">
        <v>2</v>
      </c>
      <c r="V992" s="37">
        <f>P992*E992</f>
        <v>4190.4</v>
      </c>
      <c r="W992" s="139"/>
      <c r="X992" s="139"/>
      <c r="Y992" s="139"/>
      <c r="Z992" s="139"/>
      <c r="AA992" s="139"/>
      <c r="AB992" s="139"/>
      <c r="AC992" s="139"/>
      <c r="AD992" s="139"/>
      <c r="AE992" s="139"/>
      <c r="AF992" s="140"/>
      <c r="AG992" s="140"/>
      <c r="AH992" s="140"/>
      <c r="AI992" s="140"/>
      <c r="AJ992" s="140"/>
      <c r="AK992" s="140"/>
      <c r="AL992" s="140"/>
      <c r="AM992" s="140"/>
      <c r="AN992" s="140"/>
      <c r="AO992" s="140"/>
      <c r="AP992" s="140"/>
      <c r="AQ992" s="140"/>
      <c r="AR992" s="140"/>
      <c r="AS992" s="140"/>
      <c r="AT992" s="140"/>
      <c r="AU992" s="140"/>
      <c r="AV992" s="140"/>
      <c r="AW992" s="140"/>
      <c r="AX992" s="140"/>
      <c r="AY992" s="140"/>
      <c r="AZ992" s="140"/>
      <c r="BA992" s="140"/>
      <c r="BB992" s="140"/>
      <c r="BC992" s="140"/>
      <c r="BD992" s="140"/>
      <c r="BE992" s="140"/>
    </row>
    <row r="993" s="119" customFormat="1" ht="72" customHeight="1" outlineLevel="2" spans="1:57">
      <c r="A993" s="145">
        <f>1+N(A992)</f>
        <v>3</v>
      </c>
      <c r="B993" s="146" t="s">
        <v>472</v>
      </c>
      <c r="C993" s="147" t="s">
        <v>473</v>
      </c>
      <c r="D993" s="148" t="s">
        <v>156</v>
      </c>
      <c r="E993" s="149">
        <v>1</v>
      </c>
      <c r="F993" s="149">
        <f>S993*$S$1</f>
        <v>353</v>
      </c>
      <c r="G993" s="149">
        <f>Q993*(1+R993)*$Q$1</f>
        <v>5118</v>
      </c>
      <c r="H993" s="149">
        <f>(T993+U993)*$T$1</f>
        <v>105.8625</v>
      </c>
      <c r="I993" s="150">
        <f>(F993+G993+H993)*$I$3</f>
        <v>557.68625</v>
      </c>
      <c r="J993" s="151">
        <f>ROUND(SUM(F993:I993),2)</f>
        <v>6134.55</v>
      </c>
      <c r="K993" s="152">
        <f>ROUND(J993*E993,2)</f>
        <v>6134.55</v>
      </c>
      <c r="L993" s="153"/>
      <c r="M993" s="139"/>
      <c r="N993" s="139"/>
      <c r="O993" s="139"/>
      <c r="P993" s="37">
        <f>Q993+Q993*R993+S993+T993+U993</f>
        <v>5576.8625</v>
      </c>
      <c r="Q993" s="71">
        <f>(1560+450)*1.8+1500</f>
        <v>5118</v>
      </c>
      <c r="R993" s="155">
        <v>0</v>
      </c>
      <c r="S993" s="169">
        <f>(85)*1.8+200</f>
        <v>353</v>
      </c>
      <c r="T993" s="169">
        <f>(15)*1.8+45*1.3*1.2</f>
        <v>97.2</v>
      </c>
      <c r="U993" s="169">
        <f>1.5*5.775</f>
        <v>8.6625</v>
      </c>
      <c r="V993" s="37">
        <f>P993*E993</f>
        <v>5576.8625</v>
      </c>
      <c r="W993" s="139"/>
      <c r="X993" s="139"/>
      <c r="Y993" s="139"/>
      <c r="Z993" s="139"/>
      <c r="AA993" s="139"/>
      <c r="AB993" s="139"/>
      <c r="AC993" s="139"/>
      <c r="AD993" s="139"/>
      <c r="AE993" s="139"/>
      <c r="AF993" s="140"/>
      <c r="AG993" s="140"/>
      <c r="AH993" s="140"/>
      <c r="AI993" s="140"/>
      <c r="AJ993" s="140"/>
      <c r="AK993" s="140"/>
      <c r="AL993" s="140"/>
      <c r="AM993" s="140"/>
      <c r="AN993" s="140"/>
      <c r="AO993" s="140"/>
      <c r="AP993" s="140"/>
      <c r="AQ993" s="140"/>
      <c r="AR993" s="140"/>
      <c r="AS993" s="140"/>
      <c r="AT993" s="140"/>
      <c r="AU993" s="140"/>
      <c r="AV993" s="140"/>
      <c r="AW993" s="140"/>
      <c r="AX993" s="140"/>
      <c r="AY993" s="140"/>
      <c r="AZ993" s="140"/>
      <c r="BA993" s="140"/>
      <c r="BB993" s="140"/>
      <c r="BC993" s="140"/>
      <c r="BD993" s="140"/>
      <c r="BE993" s="140"/>
    </row>
    <row r="994" s="119" customFormat="1" ht="72" customHeight="1" outlineLevel="2" spans="1:57">
      <c r="A994" s="145">
        <f>1+N(A993)</f>
        <v>4</v>
      </c>
      <c r="B994" s="146" t="s">
        <v>474</v>
      </c>
      <c r="C994" s="147" t="s">
        <v>475</v>
      </c>
      <c r="D994" s="148" t="s">
        <v>156</v>
      </c>
      <c r="E994" s="149">
        <v>1</v>
      </c>
      <c r="F994" s="149">
        <f>S994*$S$1</f>
        <v>365.75</v>
      </c>
      <c r="G994" s="149">
        <f>Q994*(1+R994)*$Q$1</f>
        <v>5419.5</v>
      </c>
      <c r="H994" s="149">
        <f>(T994+U994)*$T$1</f>
        <v>105.8625</v>
      </c>
      <c r="I994" s="150">
        <f>(F994+G994+H994)*$I$3</f>
        <v>589.11125</v>
      </c>
      <c r="J994" s="151">
        <f>ROUND(SUM(F994:I994),2)</f>
        <v>6480.22</v>
      </c>
      <c r="K994" s="152">
        <f>ROUND(J994*E994,2)</f>
        <v>6480.22</v>
      </c>
      <c r="L994" s="153"/>
      <c r="M994" s="139"/>
      <c r="N994" s="139"/>
      <c r="O994" s="139"/>
      <c r="P994" s="37">
        <f>Q994+Q994*R994+S994+T994+U994</f>
        <v>5891.1125</v>
      </c>
      <c r="Q994" s="71">
        <f>(1560+450)*1.95+1500</f>
        <v>5419.5</v>
      </c>
      <c r="R994" s="155">
        <v>0</v>
      </c>
      <c r="S994" s="169">
        <f>(85)*1.95+200</f>
        <v>365.75</v>
      </c>
      <c r="T994" s="169">
        <f>(15)*1.8+45*1.3*1.2</f>
        <v>97.2</v>
      </c>
      <c r="U994" s="169">
        <f>1.5*5.775</f>
        <v>8.6625</v>
      </c>
      <c r="V994" s="37">
        <f>P994*E994</f>
        <v>5891.1125</v>
      </c>
      <c r="W994" s="139"/>
      <c r="X994" s="139"/>
      <c r="Y994" s="139"/>
      <c r="Z994" s="139"/>
      <c r="AA994" s="139"/>
      <c r="AB994" s="139"/>
      <c r="AC994" s="139"/>
      <c r="AD994" s="139"/>
      <c r="AE994" s="139"/>
      <c r="AF994" s="140"/>
      <c r="AG994" s="140"/>
      <c r="AH994" s="140"/>
      <c r="AI994" s="140"/>
      <c r="AJ994" s="140"/>
      <c r="AK994" s="140"/>
      <c r="AL994" s="140"/>
      <c r="AM994" s="140"/>
      <c r="AN994" s="140"/>
      <c r="AO994" s="140"/>
      <c r="AP994" s="140"/>
      <c r="AQ994" s="140"/>
      <c r="AR994" s="140"/>
      <c r="AS994" s="140"/>
      <c r="AT994" s="140"/>
      <c r="AU994" s="140"/>
      <c r="AV994" s="140"/>
      <c r="AW994" s="140"/>
      <c r="AX994" s="140"/>
      <c r="AY994" s="140"/>
      <c r="AZ994" s="140"/>
      <c r="BA994" s="140"/>
      <c r="BB994" s="140"/>
      <c r="BC994" s="140"/>
      <c r="BD994" s="140"/>
      <c r="BE994" s="140"/>
    </row>
    <row r="995" s="119" customFormat="1" ht="48" customHeight="1" outlineLevel="2" spans="1:57">
      <c r="A995" s="145">
        <f>1+N(A994)</f>
        <v>5</v>
      </c>
      <c r="B995" s="146" t="s">
        <v>476</v>
      </c>
      <c r="C995" s="147" t="s">
        <v>477</v>
      </c>
      <c r="D995" s="148" t="s">
        <v>63</v>
      </c>
      <c r="E995" s="149">
        <f>2.05*3.2*2</f>
        <v>13.12</v>
      </c>
      <c r="F995" s="149">
        <f>S995*$S$1</f>
        <v>35</v>
      </c>
      <c r="G995" s="149">
        <f>Q995*(1+R995)*$Q$1</f>
        <v>2100</v>
      </c>
      <c r="H995" s="149">
        <f>(T995+U995)*$T$1</f>
        <v>52.5</v>
      </c>
      <c r="I995" s="150">
        <f>(F995+G995+H995)*$I$3</f>
        <v>218.75</v>
      </c>
      <c r="J995" s="151">
        <f>ROUND(SUM(F995:I995),2)</f>
        <v>2406.25</v>
      </c>
      <c r="K995" s="152">
        <f>ROUND(J995*E995,2)</f>
        <v>31570</v>
      </c>
      <c r="L995" s="153"/>
      <c r="M995" s="139"/>
      <c r="N995" s="139"/>
      <c r="O995" s="139"/>
      <c r="P995" s="37">
        <f>Q995+Q995*R995+S995+T995+U995</f>
        <v>2187.5</v>
      </c>
      <c r="Q995" s="71">
        <v>2100</v>
      </c>
      <c r="R995" s="157">
        <v>0</v>
      </c>
      <c r="S995" s="71">
        <v>35</v>
      </c>
      <c r="T995" s="71">
        <v>51</v>
      </c>
      <c r="U995" s="71">
        <v>1.5</v>
      </c>
      <c r="V995" s="37">
        <f>P995*E995</f>
        <v>28700</v>
      </c>
      <c r="W995" s="139"/>
      <c r="X995" s="139"/>
      <c r="Y995" s="139"/>
      <c r="Z995" s="139"/>
      <c r="AA995" s="139"/>
      <c r="AB995" s="139"/>
      <c r="AC995" s="139"/>
      <c r="AD995" s="139"/>
      <c r="AE995" s="139"/>
      <c r="AF995" s="140"/>
      <c r="AG995" s="140"/>
      <c r="AH995" s="140"/>
      <c r="AI995" s="140"/>
      <c r="AJ995" s="140"/>
      <c r="AK995" s="140"/>
      <c r="AL995" s="140"/>
      <c r="AM995" s="140"/>
      <c r="AN995" s="140"/>
      <c r="AO995" s="140"/>
      <c r="AP995" s="140"/>
      <c r="AQ995" s="140"/>
      <c r="AR995" s="140"/>
      <c r="AS995" s="140"/>
      <c r="AT995" s="140"/>
      <c r="AU995" s="140"/>
      <c r="AV995" s="140"/>
      <c r="AW995" s="140"/>
      <c r="AX995" s="140"/>
      <c r="AY995" s="140"/>
      <c r="AZ995" s="140"/>
      <c r="BA995" s="140"/>
      <c r="BB995" s="140"/>
      <c r="BC995" s="140"/>
      <c r="BD995" s="140"/>
      <c r="BE995" s="140"/>
    </row>
    <row r="996" s="119" customFormat="1" ht="24" customHeight="1" outlineLevel="1" spans="1:57">
      <c r="A996" s="132" t="s">
        <v>142</v>
      </c>
      <c r="B996" s="179" t="s">
        <v>478</v>
      </c>
      <c r="C996" s="180"/>
      <c r="D996" s="133"/>
      <c r="E996" s="134"/>
      <c r="F996" s="134"/>
      <c r="G996" s="134"/>
      <c r="H996" s="134"/>
      <c r="I996" s="134"/>
      <c r="J996" s="134"/>
      <c r="K996" s="11"/>
      <c r="L996" s="135"/>
      <c r="M996" s="139"/>
      <c r="N996" s="139"/>
      <c r="O996" s="139"/>
      <c r="P996" s="137"/>
      <c r="Q996" s="137"/>
      <c r="R996" s="138"/>
      <c r="S996" s="137"/>
      <c r="T996" s="137"/>
      <c r="U996" s="137"/>
      <c r="V996" s="137"/>
      <c r="W996" s="139"/>
      <c r="X996" s="139"/>
      <c r="Y996" s="139"/>
      <c r="Z996" s="139"/>
      <c r="AA996" s="139"/>
      <c r="AB996" s="139"/>
      <c r="AC996" s="139"/>
      <c r="AD996" s="139"/>
      <c r="AE996" s="139"/>
      <c r="AF996" s="140"/>
      <c r="AG996" s="140"/>
      <c r="AH996" s="140"/>
      <c r="AI996" s="140"/>
      <c r="AJ996" s="140"/>
      <c r="AK996" s="140"/>
      <c r="AL996" s="140"/>
      <c r="AM996" s="140"/>
      <c r="AN996" s="140"/>
      <c r="AO996" s="140"/>
      <c r="AP996" s="140"/>
      <c r="AQ996" s="140"/>
      <c r="AR996" s="140"/>
      <c r="AS996" s="140"/>
      <c r="AT996" s="140"/>
      <c r="AU996" s="140"/>
      <c r="AV996" s="140"/>
      <c r="AW996" s="140"/>
      <c r="AX996" s="140"/>
      <c r="AY996" s="140"/>
      <c r="AZ996" s="140"/>
      <c r="BA996" s="140"/>
      <c r="BB996" s="140"/>
      <c r="BC996" s="140"/>
      <c r="BD996" s="140"/>
      <c r="BE996" s="140"/>
    </row>
    <row r="997" s="119" customFormat="1" ht="24" customHeight="1" outlineLevel="1" spans="1:57">
      <c r="A997" s="141"/>
      <c r="B997" s="14" t="s">
        <v>60</v>
      </c>
      <c r="C997" s="15"/>
      <c r="D997" s="142"/>
      <c r="E997" s="143"/>
      <c r="F997" s="143"/>
      <c r="G997" s="143"/>
      <c r="H997" s="143"/>
      <c r="I997" s="143"/>
      <c r="J997" s="143"/>
      <c r="K997" s="144"/>
      <c r="L997" s="135"/>
      <c r="M997" s="139"/>
      <c r="N997" s="139"/>
      <c r="O997" s="139"/>
      <c r="P997" s="137"/>
      <c r="Q997" s="137"/>
      <c r="R997" s="138"/>
      <c r="S997" s="137"/>
      <c r="T997" s="137"/>
      <c r="U997" s="137"/>
      <c r="V997" s="137"/>
      <c r="W997" s="139"/>
      <c r="X997" s="139"/>
      <c r="Y997" s="139"/>
      <c r="Z997" s="139"/>
      <c r="AA997" s="139"/>
      <c r="AB997" s="139"/>
      <c r="AC997" s="139"/>
      <c r="AD997" s="139"/>
      <c r="AE997" s="139"/>
      <c r="AF997" s="140"/>
      <c r="AG997" s="140"/>
      <c r="AH997" s="140"/>
      <c r="AI997" s="140"/>
      <c r="AJ997" s="140"/>
      <c r="AK997" s="140"/>
      <c r="AL997" s="140"/>
      <c r="AM997" s="140"/>
      <c r="AN997" s="140"/>
      <c r="AO997" s="140"/>
      <c r="AP997" s="140"/>
      <c r="AQ997" s="140"/>
      <c r="AR997" s="140"/>
      <c r="AS997" s="140"/>
      <c r="AT997" s="140"/>
      <c r="AU997" s="140"/>
      <c r="AV997" s="140"/>
      <c r="AW997" s="140"/>
      <c r="AX997" s="140"/>
      <c r="AY997" s="140"/>
      <c r="AZ997" s="140"/>
      <c r="BA997" s="140"/>
      <c r="BB997" s="140"/>
      <c r="BC997" s="140"/>
      <c r="BD997" s="140"/>
      <c r="BE997" s="140"/>
    </row>
    <row r="998" s="119" customFormat="1" ht="108" customHeight="1" outlineLevel="2" spans="1:57">
      <c r="A998" s="162">
        <f>1+N(A997)</f>
        <v>1</v>
      </c>
      <c r="B998" s="14" t="s">
        <v>61</v>
      </c>
      <c r="C998" s="15" t="s">
        <v>253</v>
      </c>
      <c r="D998" s="142" t="s">
        <v>63</v>
      </c>
      <c r="E998" s="143">
        <v>84.675</v>
      </c>
      <c r="F998" s="143">
        <f>$F$453</f>
        <v>130</v>
      </c>
      <c r="G998" s="143">
        <f>$G$453</f>
        <v>854.9</v>
      </c>
      <c r="H998" s="17">
        <f>$H$453</f>
        <v>47.7</v>
      </c>
      <c r="I998" s="17">
        <f>(F998+G998+H998)*$I$3</f>
        <v>103.26</v>
      </c>
      <c r="J998" s="18">
        <f>ROUND(SUM(F998:I998),2)</f>
        <v>1135.86</v>
      </c>
      <c r="K998" s="19">
        <f>ROUND(J998*E998,2)</f>
        <v>96178.95</v>
      </c>
      <c r="L998" s="135"/>
      <c r="M998" s="139"/>
      <c r="N998" s="139"/>
      <c r="O998" s="139"/>
      <c r="P998" s="37">
        <f>Q998+Q998*R998+S998+T998+U998</f>
        <v>1032.6</v>
      </c>
      <c r="Q998" s="99">
        <f>$Q$453</f>
        <v>830</v>
      </c>
      <c r="R998" s="163">
        <f>$R$453</f>
        <v>0.03</v>
      </c>
      <c r="S998" s="99">
        <f>$S$453</f>
        <v>130</v>
      </c>
      <c r="T998" s="99">
        <f>$T$453</f>
        <v>46.2</v>
      </c>
      <c r="U998" s="99">
        <f>$U$453</f>
        <v>1.5</v>
      </c>
      <c r="V998" s="37">
        <f>P998*E998</f>
        <v>87435.405</v>
      </c>
      <c r="W998" s="139"/>
      <c r="X998" s="139"/>
      <c r="Y998" s="139"/>
      <c r="Z998" s="139"/>
      <c r="AA998" s="139"/>
      <c r="AB998" s="139"/>
      <c r="AC998" s="139"/>
      <c r="AD998" s="139"/>
      <c r="AE998" s="139"/>
      <c r="AF998" s="140"/>
      <c r="AG998" s="140"/>
      <c r="AH998" s="140"/>
      <c r="AI998" s="140"/>
      <c r="AJ998" s="140"/>
      <c r="AK998" s="140"/>
      <c r="AL998" s="140"/>
      <c r="AM998" s="140"/>
      <c r="AN998" s="140"/>
      <c r="AO998" s="140"/>
      <c r="AP998" s="140"/>
      <c r="AQ998" s="140"/>
      <c r="AR998" s="140"/>
      <c r="AS998" s="140"/>
      <c r="AT998" s="140"/>
      <c r="AU998" s="140"/>
      <c r="AV998" s="140"/>
      <c r="AW998" s="140"/>
      <c r="AX998" s="140"/>
      <c r="AY998" s="140"/>
      <c r="AZ998" s="140"/>
      <c r="BA998" s="140"/>
      <c r="BB998" s="140"/>
      <c r="BC998" s="140"/>
      <c r="BD998" s="140"/>
      <c r="BE998" s="140"/>
    </row>
    <row r="999" s="119" customFormat="1" ht="108" customHeight="1" outlineLevel="2" spans="1:57">
      <c r="A999" s="162">
        <f>1+N(A998)</f>
        <v>2</v>
      </c>
      <c r="B999" s="14" t="s">
        <v>254</v>
      </c>
      <c r="C999" s="15" t="s">
        <v>255</v>
      </c>
      <c r="D999" s="142" t="s">
        <v>63</v>
      </c>
      <c r="E999" s="143">
        <v>4.04</v>
      </c>
      <c r="F999" s="143">
        <f>$F$454</f>
        <v>130</v>
      </c>
      <c r="G999" s="143">
        <f>$G$454</f>
        <v>854.9</v>
      </c>
      <c r="H999" s="143">
        <f>$H$454</f>
        <v>47.7</v>
      </c>
      <c r="I999" s="17">
        <f>(F999+G999+H999)*$I$3</f>
        <v>103.26</v>
      </c>
      <c r="J999" s="18">
        <f>ROUND(SUM(F999:I999),2)</f>
        <v>1135.86</v>
      </c>
      <c r="K999" s="19">
        <f>ROUND(J999*E999,2)</f>
        <v>4588.87</v>
      </c>
      <c r="L999" s="135"/>
      <c r="M999" s="139"/>
      <c r="N999" s="139"/>
      <c r="O999" s="139"/>
      <c r="P999" s="37">
        <f>Q999+Q999*R999+S999+T999+U999</f>
        <v>1032.6</v>
      </c>
      <c r="Q999" s="99">
        <f>$Q$454</f>
        <v>830</v>
      </c>
      <c r="R999" s="163">
        <f>$R$454</f>
        <v>0.03</v>
      </c>
      <c r="S999" s="99">
        <f>$S$454</f>
        <v>130</v>
      </c>
      <c r="T999" s="99">
        <f>$T$454</f>
        <v>46.2</v>
      </c>
      <c r="U999" s="99">
        <f>$U$454</f>
        <v>1.5</v>
      </c>
      <c r="V999" s="37">
        <f>P999*E999</f>
        <v>4171.704</v>
      </c>
      <c r="W999" s="139"/>
      <c r="X999" s="139"/>
      <c r="Y999" s="139"/>
      <c r="Z999" s="139"/>
      <c r="AA999" s="139"/>
      <c r="AB999" s="139"/>
      <c r="AC999" s="139"/>
      <c r="AD999" s="139"/>
      <c r="AE999" s="139"/>
      <c r="AF999" s="140"/>
      <c r="AG999" s="140"/>
      <c r="AH999" s="140"/>
      <c r="AI999" s="140"/>
      <c r="AJ999" s="140"/>
      <c r="AK999" s="140"/>
      <c r="AL999" s="140"/>
      <c r="AM999" s="140"/>
      <c r="AN999" s="140"/>
      <c r="AO999" s="140"/>
      <c r="AP999" s="140"/>
      <c r="AQ999" s="140"/>
      <c r="AR999" s="140"/>
      <c r="AS999" s="140"/>
      <c r="AT999" s="140"/>
      <c r="AU999" s="140"/>
      <c r="AV999" s="140"/>
      <c r="AW999" s="140"/>
      <c r="AX999" s="140"/>
      <c r="AY999" s="140"/>
      <c r="AZ999" s="140"/>
      <c r="BA999" s="140"/>
      <c r="BB999" s="140"/>
      <c r="BC999" s="140"/>
      <c r="BD999" s="140"/>
      <c r="BE999" s="140"/>
    </row>
    <row r="1000" s="119" customFormat="1" ht="48" customHeight="1" outlineLevel="2" spans="1:57">
      <c r="A1000" s="162">
        <f>1+N(A999)</f>
        <v>3</v>
      </c>
      <c r="B1000" s="14" t="s">
        <v>71</v>
      </c>
      <c r="C1000" s="15" t="s">
        <v>72</v>
      </c>
      <c r="D1000" s="142" t="s">
        <v>63</v>
      </c>
      <c r="E1000" s="143">
        <f>+E998+E999</f>
        <v>88.715</v>
      </c>
      <c r="F1000" s="143">
        <f>$F$11</f>
        <v>40</v>
      </c>
      <c r="G1000" s="143">
        <f>$G$11</f>
        <v>15</v>
      </c>
      <c r="H1000" s="143">
        <f>$H$11</f>
        <v>0.8</v>
      </c>
      <c r="I1000" s="17">
        <f>(F1000+G1000+H1000)*$I$3</f>
        <v>5.58</v>
      </c>
      <c r="J1000" s="18">
        <f>ROUND(SUM(F1000:I1000),2)</f>
        <v>61.38</v>
      </c>
      <c r="K1000" s="19">
        <f>ROUND(J1000*E1000,2)</f>
        <v>5445.33</v>
      </c>
      <c r="L1000" s="135"/>
      <c r="M1000" s="139"/>
      <c r="N1000" s="139"/>
      <c r="O1000" s="139"/>
      <c r="P1000" s="37">
        <f>Q1000+Q1000*R1000+S1000+T1000+U1000</f>
        <v>55.8</v>
      </c>
      <c r="Q1000" s="99">
        <f>$Q$11</f>
        <v>15</v>
      </c>
      <c r="R1000" s="163">
        <f>$R$11</f>
        <v>0</v>
      </c>
      <c r="S1000" s="99">
        <f>$S$11</f>
        <v>40</v>
      </c>
      <c r="T1000" s="99">
        <f>$T$11</f>
        <v>0.5</v>
      </c>
      <c r="U1000" s="99">
        <f>$U$11</f>
        <v>0.3</v>
      </c>
      <c r="V1000" s="37">
        <f>P1000*E1000</f>
        <v>4950.297</v>
      </c>
      <c r="W1000" s="139"/>
      <c r="X1000" s="139"/>
      <c r="Y1000" s="139"/>
      <c r="Z1000" s="139"/>
      <c r="AA1000" s="139"/>
      <c r="AB1000" s="139"/>
      <c r="AC1000" s="139"/>
      <c r="AD1000" s="139"/>
      <c r="AE1000" s="139"/>
      <c r="AF1000" s="140"/>
      <c r="AG1000" s="140"/>
      <c r="AH1000" s="140"/>
      <c r="AI1000" s="140"/>
      <c r="AJ1000" s="140"/>
      <c r="AK1000" s="140"/>
      <c r="AL1000" s="140"/>
      <c r="AM1000" s="140"/>
      <c r="AN1000" s="140"/>
      <c r="AO1000" s="140"/>
      <c r="AP1000" s="140"/>
      <c r="AQ1000" s="140"/>
      <c r="AR1000" s="140"/>
      <c r="AS1000" s="140"/>
      <c r="AT1000" s="140"/>
      <c r="AU1000" s="140"/>
      <c r="AV1000" s="140"/>
      <c r="AW1000" s="140"/>
      <c r="AX1000" s="140"/>
      <c r="AY1000" s="140"/>
      <c r="AZ1000" s="140"/>
      <c r="BA1000" s="140"/>
      <c r="BB1000" s="140"/>
      <c r="BC1000" s="140"/>
      <c r="BD1000" s="140"/>
      <c r="BE1000" s="140"/>
    </row>
    <row r="1001" s="119" customFormat="1" ht="24" customHeight="1" outlineLevel="1" spans="1:57">
      <c r="A1001" s="141"/>
      <c r="B1001" s="14" t="s">
        <v>73</v>
      </c>
      <c r="C1001" s="15"/>
      <c r="D1001" s="142"/>
      <c r="E1001" s="143"/>
      <c r="F1001" s="143"/>
      <c r="G1001" s="143"/>
      <c r="H1001" s="143"/>
      <c r="I1001" s="143"/>
      <c r="J1001" s="143"/>
      <c r="K1001" s="144"/>
      <c r="L1001" s="135"/>
      <c r="M1001" s="139"/>
      <c r="N1001" s="139"/>
      <c r="O1001" s="139"/>
      <c r="P1001" s="137"/>
      <c r="Q1001" s="137"/>
      <c r="R1001" s="138"/>
      <c r="S1001" s="137"/>
      <c r="T1001" s="137"/>
      <c r="U1001" s="137"/>
      <c r="V1001" s="137"/>
      <c r="W1001" s="139"/>
      <c r="X1001" s="139"/>
      <c r="Y1001" s="139"/>
      <c r="Z1001" s="139"/>
      <c r="AA1001" s="139"/>
      <c r="AB1001" s="139"/>
      <c r="AC1001" s="139"/>
      <c r="AD1001" s="139"/>
      <c r="AE1001" s="139"/>
      <c r="AF1001" s="140"/>
      <c r="AG1001" s="140"/>
      <c r="AH1001" s="140"/>
      <c r="AI1001" s="140"/>
      <c r="AJ1001" s="140"/>
      <c r="AK1001" s="140"/>
      <c r="AL1001" s="140"/>
      <c r="AM1001" s="140"/>
      <c r="AN1001" s="140"/>
      <c r="AO1001" s="140"/>
      <c r="AP1001" s="140"/>
      <c r="AQ1001" s="140"/>
      <c r="AR1001" s="140"/>
      <c r="AS1001" s="140"/>
      <c r="AT1001" s="140"/>
      <c r="AU1001" s="140"/>
      <c r="AV1001" s="140"/>
      <c r="AW1001" s="140"/>
      <c r="AX1001" s="140"/>
      <c r="AY1001" s="140"/>
      <c r="AZ1001" s="140"/>
      <c r="BA1001" s="140"/>
      <c r="BB1001" s="140"/>
      <c r="BC1001" s="140"/>
      <c r="BD1001" s="140"/>
      <c r="BE1001" s="140"/>
    </row>
    <row r="1002" s="119" customFormat="1" ht="60" customHeight="1" outlineLevel="2" spans="1:57">
      <c r="A1002" s="145">
        <f t="shared" ref="A1002:A1014" si="309">1+N(A1001)</f>
        <v>1</v>
      </c>
      <c r="B1002" s="158" t="s">
        <v>479</v>
      </c>
      <c r="C1002" s="147" t="s">
        <v>480</v>
      </c>
      <c r="D1002" s="148" t="s">
        <v>63</v>
      </c>
      <c r="E1002" s="149">
        <v>11.974</v>
      </c>
      <c r="F1002" s="149">
        <f>S1002*$S$1</f>
        <v>95</v>
      </c>
      <c r="G1002" s="149">
        <f>Q1002*(1+R1002)*$Q$1</f>
        <v>620</v>
      </c>
      <c r="H1002" s="149">
        <f>(T1002+U1002)*$T$1</f>
        <v>18.3</v>
      </c>
      <c r="I1002" s="150">
        <f t="shared" ref="I1002:I1014" si="310">(F1002+G1002+H1002)*$I$3</f>
        <v>73.33</v>
      </c>
      <c r="J1002" s="151">
        <f t="shared" ref="J1002:J1014" si="311">ROUND(SUM(F1002:I1002),2)</f>
        <v>806.63</v>
      </c>
      <c r="K1002" s="152">
        <f t="shared" ref="K1002:K1014" si="312">ROUND(J1002*E1002,2)</f>
        <v>9658.59</v>
      </c>
      <c r="L1002" s="153"/>
      <c r="M1002" s="139"/>
      <c r="N1002" s="139"/>
      <c r="O1002" s="139"/>
      <c r="P1002" s="37">
        <f t="shared" ref="P1002:P1014" si="313">Q1002+Q1002*R1002+S1002+T1002+U1002</f>
        <v>733.3</v>
      </c>
      <c r="Q1002" s="71">
        <v>620</v>
      </c>
      <c r="R1002" s="157">
        <v>0</v>
      </c>
      <c r="S1002" s="71">
        <v>95</v>
      </c>
      <c r="T1002" s="71">
        <v>16.8</v>
      </c>
      <c r="U1002" s="71">
        <v>1.5</v>
      </c>
      <c r="V1002" s="37">
        <f t="shared" ref="V1002:V1014" si="314">P1002*E1002</f>
        <v>8780.5342</v>
      </c>
      <c r="W1002" s="139"/>
      <c r="X1002" s="139"/>
      <c r="Y1002" s="139"/>
      <c r="Z1002" s="139"/>
      <c r="AA1002" s="139"/>
      <c r="AB1002" s="139"/>
      <c r="AC1002" s="139"/>
      <c r="AD1002" s="139"/>
      <c r="AE1002" s="139"/>
      <c r="AF1002" s="140"/>
      <c r="AG1002" s="140"/>
      <c r="AH1002" s="140"/>
      <c r="AI1002" s="140"/>
      <c r="AJ1002" s="140"/>
      <c r="AK1002" s="140"/>
      <c r="AL1002" s="140"/>
      <c r="AM1002" s="140"/>
      <c r="AN1002" s="140"/>
      <c r="AO1002" s="140"/>
      <c r="AP1002" s="140"/>
      <c r="AQ1002" s="140"/>
      <c r="AR1002" s="140"/>
      <c r="AS1002" s="140"/>
      <c r="AT1002" s="140"/>
      <c r="AU1002" s="140"/>
      <c r="AV1002" s="140"/>
      <c r="AW1002" s="140"/>
      <c r="AX1002" s="140"/>
      <c r="AY1002" s="140"/>
      <c r="AZ1002" s="140"/>
      <c r="BA1002" s="140"/>
      <c r="BB1002" s="140"/>
      <c r="BC1002" s="140"/>
      <c r="BD1002" s="140"/>
      <c r="BE1002" s="140"/>
    </row>
    <row r="1003" s="119" customFormat="1" ht="60" customHeight="1" outlineLevel="2" spans="1:57">
      <c r="A1003" s="145">
        <f t="shared" si="309"/>
        <v>2</v>
      </c>
      <c r="B1003" s="158" t="s">
        <v>285</v>
      </c>
      <c r="C1003" s="147" t="s">
        <v>481</v>
      </c>
      <c r="D1003" s="148" t="s">
        <v>63</v>
      </c>
      <c r="E1003" s="149">
        <v>137.246</v>
      </c>
      <c r="F1003" s="149">
        <f>S1003*$S$1</f>
        <v>145</v>
      </c>
      <c r="G1003" s="149">
        <f>Q1003*(1+R1003)*$Q$1</f>
        <v>651</v>
      </c>
      <c r="H1003" s="149">
        <f>(T1003+U1003)*$T$1</f>
        <v>113.55</v>
      </c>
      <c r="I1003" s="150">
        <f t="shared" si="310"/>
        <v>90.955</v>
      </c>
      <c r="J1003" s="151">
        <f t="shared" si="311"/>
        <v>1000.51</v>
      </c>
      <c r="K1003" s="152">
        <f t="shared" si="312"/>
        <v>137316</v>
      </c>
      <c r="L1003" s="153"/>
      <c r="M1003" s="139"/>
      <c r="N1003" s="139"/>
      <c r="O1003" s="139"/>
      <c r="P1003" s="37">
        <f t="shared" si="313"/>
        <v>909.55</v>
      </c>
      <c r="Q1003" s="71">
        <v>620</v>
      </c>
      <c r="R1003" s="155">
        <v>0.05</v>
      </c>
      <c r="S1003" s="169">
        <v>145</v>
      </c>
      <c r="T1003" s="169">
        <f>15.5*5.5+4*3.5+4*1+8.5</f>
        <v>111.75</v>
      </c>
      <c r="U1003" s="169">
        <v>1.8</v>
      </c>
      <c r="V1003" s="37">
        <f t="shared" si="314"/>
        <v>124832.0993</v>
      </c>
      <c r="W1003" s="139"/>
      <c r="X1003" s="139"/>
      <c r="Y1003" s="139"/>
      <c r="Z1003" s="139"/>
      <c r="AA1003" s="139"/>
      <c r="AB1003" s="139"/>
      <c r="AC1003" s="139"/>
      <c r="AD1003" s="139"/>
      <c r="AE1003" s="139"/>
      <c r="AF1003" s="140"/>
      <c r="AG1003" s="140"/>
      <c r="AH1003" s="140"/>
      <c r="AI1003" s="140"/>
      <c r="AJ1003" s="140"/>
      <c r="AK1003" s="140"/>
      <c r="AL1003" s="140"/>
      <c r="AM1003" s="140"/>
      <c r="AN1003" s="140"/>
      <c r="AO1003" s="140"/>
      <c r="AP1003" s="140"/>
      <c r="AQ1003" s="140"/>
      <c r="AR1003" s="140"/>
      <c r="AS1003" s="140"/>
      <c r="AT1003" s="140"/>
      <c r="AU1003" s="140"/>
      <c r="AV1003" s="140"/>
      <c r="AW1003" s="140"/>
      <c r="AX1003" s="140"/>
      <c r="AY1003" s="140"/>
      <c r="AZ1003" s="140"/>
      <c r="BA1003" s="140"/>
      <c r="BB1003" s="140"/>
      <c r="BC1003" s="140"/>
      <c r="BD1003" s="140"/>
      <c r="BE1003" s="140"/>
    </row>
    <row r="1004" s="119" customFormat="1" ht="60" customHeight="1" outlineLevel="2" spans="1:57">
      <c r="A1004" s="145">
        <f t="shared" si="309"/>
        <v>3</v>
      </c>
      <c r="B1004" s="146" t="s">
        <v>482</v>
      </c>
      <c r="C1004" s="147" t="s">
        <v>483</v>
      </c>
      <c r="D1004" s="148" t="s">
        <v>63</v>
      </c>
      <c r="E1004" s="149">
        <v>29.472</v>
      </c>
      <c r="F1004" s="149">
        <f>S1004*$S$1</f>
        <v>145</v>
      </c>
      <c r="G1004" s="149">
        <f>Q1004*(1+R1004)*$Q$1</f>
        <v>813.75</v>
      </c>
      <c r="H1004" s="149">
        <f>(T1004+U1004)*$T$1</f>
        <v>113.55</v>
      </c>
      <c r="I1004" s="150">
        <f t="shared" si="310"/>
        <v>107.23</v>
      </c>
      <c r="J1004" s="151">
        <f t="shared" si="311"/>
        <v>1179.53</v>
      </c>
      <c r="K1004" s="152">
        <f t="shared" si="312"/>
        <v>34763.11</v>
      </c>
      <c r="L1004" s="153"/>
      <c r="M1004" s="139"/>
      <c r="N1004" s="139"/>
      <c r="O1004" s="139"/>
      <c r="P1004" s="37">
        <f t="shared" si="313"/>
        <v>1072.3</v>
      </c>
      <c r="Q1004" s="71">
        <v>775</v>
      </c>
      <c r="R1004" s="155">
        <v>0.05</v>
      </c>
      <c r="S1004" s="169">
        <v>145</v>
      </c>
      <c r="T1004" s="169">
        <f>15.5*5.5+4*3.5+4*1+8.5</f>
        <v>111.75</v>
      </c>
      <c r="U1004" s="169">
        <v>1.8</v>
      </c>
      <c r="V1004" s="37">
        <f t="shared" si="314"/>
        <v>31602.8256</v>
      </c>
      <c r="W1004" s="139"/>
      <c r="X1004" s="139"/>
      <c r="Y1004" s="139"/>
      <c r="Z1004" s="139"/>
      <c r="AA1004" s="139"/>
      <c r="AB1004" s="139"/>
      <c r="AC1004" s="139"/>
      <c r="AD1004" s="139"/>
      <c r="AE1004" s="139"/>
      <c r="AF1004" s="140"/>
      <c r="AG1004" s="140"/>
      <c r="AH1004" s="140"/>
      <c r="AI1004" s="140"/>
      <c r="AJ1004" s="140"/>
      <c r="AK1004" s="140"/>
      <c r="AL1004" s="140"/>
      <c r="AM1004" s="140"/>
      <c r="AN1004" s="140"/>
      <c r="AO1004" s="140"/>
      <c r="AP1004" s="140"/>
      <c r="AQ1004" s="140"/>
      <c r="AR1004" s="140"/>
      <c r="AS1004" s="140"/>
      <c r="AT1004" s="140"/>
      <c r="AU1004" s="140"/>
      <c r="AV1004" s="140"/>
      <c r="AW1004" s="140"/>
      <c r="AX1004" s="140"/>
      <c r="AY1004" s="140"/>
      <c r="AZ1004" s="140"/>
      <c r="BA1004" s="140"/>
      <c r="BB1004" s="140"/>
      <c r="BC1004" s="140"/>
      <c r="BD1004" s="140"/>
      <c r="BE1004" s="140"/>
    </row>
    <row r="1005" s="119" customFormat="1" ht="60" customHeight="1" outlineLevel="2" spans="1:57">
      <c r="A1005" s="145">
        <f t="shared" si="309"/>
        <v>4</v>
      </c>
      <c r="B1005" s="158" t="s">
        <v>76</v>
      </c>
      <c r="C1005" s="147" t="s">
        <v>77</v>
      </c>
      <c r="D1005" s="148" t="s">
        <v>63</v>
      </c>
      <c r="E1005" s="149">
        <v>3.672</v>
      </c>
      <c r="F1005" s="149">
        <f>$F$14</f>
        <v>145</v>
      </c>
      <c r="G1005" s="149">
        <f>$G$14</f>
        <v>651</v>
      </c>
      <c r="H1005" s="149">
        <f>$H$14</f>
        <v>113.55</v>
      </c>
      <c r="I1005" s="150">
        <f t="shared" si="310"/>
        <v>90.955</v>
      </c>
      <c r="J1005" s="151">
        <f t="shared" si="311"/>
        <v>1000.51</v>
      </c>
      <c r="K1005" s="152">
        <f t="shared" si="312"/>
        <v>3673.87</v>
      </c>
      <c r="L1005" s="153"/>
      <c r="M1005" s="139"/>
      <c r="N1005" s="139"/>
      <c r="O1005" s="139"/>
      <c r="P1005" s="37">
        <f t="shared" si="313"/>
        <v>2000.5</v>
      </c>
      <c r="Q1005" s="99">
        <v>1659</v>
      </c>
      <c r="R1005" s="163">
        <f>$R$14</f>
        <v>0.05</v>
      </c>
      <c r="S1005" s="99">
        <f>$S$14</f>
        <v>145</v>
      </c>
      <c r="T1005" s="99">
        <f>$T$14</f>
        <v>111.75</v>
      </c>
      <c r="U1005" s="99">
        <f>$U$14</f>
        <v>1.8</v>
      </c>
      <c r="V1005" s="37">
        <f t="shared" si="314"/>
        <v>7345.836</v>
      </c>
      <c r="W1005" s="139"/>
      <c r="X1005" s="139"/>
      <c r="Y1005" s="139"/>
      <c r="Z1005" s="139"/>
      <c r="AA1005" s="139"/>
      <c r="AB1005" s="139"/>
      <c r="AC1005" s="139"/>
      <c r="AD1005" s="139"/>
      <c r="AE1005" s="139"/>
      <c r="AF1005" s="140"/>
      <c r="AG1005" s="140"/>
      <c r="AH1005" s="140"/>
      <c r="AI1005" s="140"/>
      <c r="AJ1005" s="140"/>
      <c r="AK1005" s="140"/>
      <c r="AL1005" s="140"/>
      <c r="AM1005" s="140"/>
      <c r="AN1005" s="140"/>
      <c r="AO1005" s="140"/>
      <c r="AP1005" s="140"/>
      <c r="AQ1005" s="140"/>
      <c r="AR1005" s="140"/>
      <c r="AS1005" s="140"/>
      <c r="AT1005" s="140"/>
      <c r="AU1005" s="140"/>
      <c r="AV1005" s="140"/>
      <c r="AW1005" s="140"/>
      <c r="AX1005" s="140"/>
      <c r="AY1005" s="140"/>
      <c r="AZ1005" s="140"/>
      <c r="BA1005" s="140"/>
      <c r="BB1005" s="140"/>
      <c r="BC1005" s="140"/>
      <c r="BD1005" s="140"/>
      <c r="BE1005" s="140"/>
    </row>
    <row r="1006" s="119" customFormat="1" ht="60" customHeight="1" outlineLevel="2" spans="1:57">
      <c r="A1006" s="162">
        <f t="shared" si="309"/>
        <v>5</v>
      </c>
      <c r="B1006" s="14" t="s">
        <v>307</v>
      </c>
      <c r="C1006" s="15" t="s">
        <v>308</v>
      </c>
      <c r="D1006" s="142" t="s">
        <v>63</v>
      </c>
      <c r="E1006" s="143">
        <v>23.471</v>
      </c>
      <c r="F1006" s="143">
        <f>$F$545</f>
        <v>75</v>
      </c>
      <c r="G1006" s="143">
        <f>$G$545</f>
        <v>597.4</v>
      </c>
      <c r="H1006" s="143">
        <f>$H$545</f>
        <v>89.95</v>
      </c>
      <c r="I1006" s="17">
        <f t="shared" si="310"/>
        <v>76.235</v>
      </c>
      <c r="J1006" s="18">
        <f t="shared" si="311"/>
        <v>838.59</v>
      </c>
      <c r="K1006" s="19">
        <f t="shared" si="312"/>
        <v>19682.55</v>
      </c>
      <c r="L1006" s="135"/>
      <c r="M1006" s="139"/>
      <c r="N1006" s="139"/>
      <c r="O1006" s="139"/>
      <c r="P1006" s="37">
        <f t="shared" si="313"/>
        <v>762.35</v>
      </c>
      <c r="Q1006" s="99">
        <f>$Q$545</f>
        <v>580</v>
      </c>
      <c r="R1006" s="163">
        <f>$R$545</f>
        <v>0.03</v>
      </c>
      <c r="S1006" s="99">
        <f>$S$545</f>
        <v>75</v>
      </c>
      <c r="T1006" s="99">
        <f>$T$545</f>
        <v>88.75</v>
      </c>
      <c r="U1006" s="99">
        <f>$U$545</f>
        <v>1.2</v>
      </c>
      <c r="V1006" s="37">
        <f t="shared" si="314"/>
        <v>17893.11685</v>
      </c>
      <c r="W1006" s="139"/>
      <c r="X1006" s="139"/>
      <c r="Y1006" s="139"/>
      <c r="Z1006" s="139"/>
      <c r="AA1006" s="139"/>
      <c r="AB1006" s="139"/>
      <c r="AC1006" s="139"/>
      <c r="AD1006" s="139"/>
      <c r="AE1006" s="139"/>
      <c r="AF1006" s="140"/>
      <c r="AG1006" s="140"/>
      <c r="AH1006" s="140"/>
      <c r="AI1006" s="140"/>
      <c r="AJ1006" s="140"/>
      <c r="AK1006" s="140"/>
      <c r="AL1006" s="140"/>
      <c r="AM1006" s="140"/>
      <c r="AN1006" s="140"/>
      <c r="AO1006" s="140"/>
      <c r="AP1006" s="140"/>
      <c r="AQ1006" s="140"/>
      <c r="AR1006" s="140"/>
      <c r="AS1006" s="140"/>
      <c r="AT1006" s="140"/>
      <c r="AU1006" s="140"/>
      <c r="AV1006" s="140"/>
      <c r="AW1006" s="140"/>
      <c r="AX1006" s="140"/>
      <c r="AY1006" s="140"/>
      <c r="AZ1006" s="140"/>
      <c r="BA1006" s="140"/>
      <c r="BB1006" s="140"/>
      <c r="BC1006" s="140"/>
      <c r="BD1006" s="140"/>
      <c r="BE1006" s="140"/>
    </row>
    <row r="1007" s="119" customFormat="1" ht="60" customHeight="1" outlineLevel="2" spans="1:57">
      <c r="A1007" s="162">
        <f t="shared" si="309"/>
        <v>6</v>
      </c>
      <c r="B1007" s="14" t="s">
        <v>260</v>
      </c>
      <c r="C1007" s="15" t="s">
        <v>261</v>
      </c>
      <c r="D1007" s="142" t="s">
        <v>63</v>
      </c>
      <c r="E1007" s="143">
        <v>23.471</v>
      </c>
      <c r="F1007" s="143">
        <f>$F$461</f>
        <v>75</v>
      </c>
      <c r="G1007" s="143">
        <f>$G$461</f>
        <v>1318.4</v>
      </c>
      <c r="H1007" s="143">
        <f>$H$461</f>
        <v>124.95</v>
      </c>
      <c r="I1007" s="17">
        <f t="shared" si="310"/>
        <v>151.835</v>
      </c>
      <c r="J1007" s="18">
        <f t="shared" si="311"/>
        <v>1670.19</v>
      </c>
      <c r="K1007" s="19">
        <f t="shared" si="312"/>
        <v>39201.03</v>
      </c>
      <c r="L1007" s="135"/>
      <c r="M1007" s="139"/>
      <c r="N1007" s="139"/>
      <c r="O1007" s="139"/>
      <c r="P1007" s="37">
        <f t="shared" si="313"/>
        <v>1518.35</v>
      </c>
      <c r="Q1007" s="99">
        <f>$Q$461</f>
        <v>1280</v>
      </c>
      <c r="R1007" s="163">
        <f>$R$461</f>
        <v>0.03</v>
      </c>
      <c r="S1007" s="99">
        <f>$S$461</f>
        <v>75</v>
      </c>
      <c r="T1007" s="99">
        <f>$T$461</f>
        <v>123.75</v>
      </c>
      <c r="U1007" s="99">
        <f>$U$461</f>
        <v>1.2</v>
      </c>
      <c r="V1007" s="37">
        <f t="shared" si="314"/>
        <v>35637.19285</v>
      </c>
      <c r="W1007" s="139"/>
      <c r="X1007" s="139"/>
      <c r="Y1007" s="139"/>
      <c r="Z1007" s="139"/>
      <c r="AA1007" s="139"/>
      <c r="AB1007" s="139"/>
      <c r="AC1007" s="139"/>
      <c r="AD1007" s="139"/>
      <c r="AE1007" s="139"/>
      <c r="AF1007" s="140"/>
      <c r="AG1007" s="140"/>
      <c r="AH1007" s="140"/>
      <c r="AI1007" s="140"/>
      <c r="AJ1007" s="140"/>
      <c r="AK1007" s="140"/>
      <c r="AL1007" s="140"/>
      <c r="AM1007" s="140"/>
      <c r="AN1007" s="140"/>
      <c r="AO1007" s="140"/>
      <c r="AP1007" s="140"/>
      <c r="AQ1007" s="140"/>
      <c r="AR1007" s="140"/>
      <c r="AS1007" s="140"/>
      <c r="AT1007" s="140"/>
      <c r="AU1007" s="140"/>
      <c r="AV1007" s="140"/>
      <c r="AW1007" s="140"/>
      <c r="AX1007" s="140"/>
      <c r="AY1007" s="140"/>
      <c r="AZ1007" s="140"/>
      <c r="BA1007" s="140"/>
      <c r="BB1007" s="140"/>
      <c r="BC1007" s="140"/>
      <c r="BD1007" s="140"/>
      <c r="BE1007" s="140"/>
    </row>
    <row r="1008" s="119" customFormat="1" ht="60" customHeight="1" outlineLevel="2" spans="1:57">
      <c r="A1008" s="162">
        <f t="shared" si="309"/>
        <v>7</v>
      </c>
      <c r="B1008" s="14" t="s">
        <v>174</v>
      </c>
      <c r="C1008" s="15" t="s">
        <v>262</v>
      </c>
      <c r="D1008" s="142" t="s">
        <v>63</v>
      </c>
      <c r="E1008" s="143">
        <v>14.775</v>
      </c>
      <c r="F1008" s="143">
        <f>$F$463</f>
        <v>110</v>
      </c>
      <c r="G1008" s="143">
        <f>$G$463</f>
        <v>87.55</v>
      </c>
      <c r="H1008" s="143">
        <f>$H$463</f>
        <v>126.35</v>
      </c>
      <c r="I1008" s="17">
        <f t="shared" si="310"/>
        <v>32.39</v>
      </c>
      <c r="J1008" s="18">
        <f t="shared" si="311"/>
        <v>356.29</v>
      </c>
      <c r="K1008" s="19">
        <f t="shared" si="312"/>
        <v>5264.18</v>
      </c>
      <c r="L1008" s="135"/>
      <c r="M1008" s="139"/>
      <c r="N1008" s="139"/>
      <c r="O1008" s="139"/>
      <c r="P1008" s="37">
        <f t="shared" si="313"/>
        <v>323.9</v>
      </c>
      <c r="Q1008" s="99">
        <f>$Q$463</f>
        <v>85</v>
      </c>
      <c r="R1008" s="163">
        <f>$R$463</f>
        <v>0.03</v>
      </c>
      <c r="S1008" s="99">
        <f>$S$463</f>
        <v>110</v>
      </c>
      <c r="T1008" s="99">
        <f>$T$463</f>
        <v>125.75</v>
      </c>
      <c r="U1008" s="99">
        <f>$U$463</f>
        <v>0.6</v>
      </c>
      <c r="V1008" s="37">
        <f t="shared" si="314"/>
        <v>4785.6225</v>
      </c>
      <c r="W1008" s="139"/>
      <c r="X1008" s="139"/>
      <c r="Y1008" s="139"/>
      <c r="Z1008" s="139"/>
      <c r="AA1008" s="139"/>
      <c r="AB1008" s="139"/>
      <c r="AC1008" s="139"/>
      <c r="AD1008" s="139"/>
      <c r="AE1008" s="139"/>
      <c r="AF1008" s="140"/>
      <c r="AG1008" s="140"/>
      <c r="AH1008" s="140"/>
      <c r="AI1008" s="140"/>
      <c r="AJ1008" s="140"/>
      <c r="AK1008" s="140"/>
      <c r="AL1008" s="140"/>
      <c r="AM1008" s="140"/>
      <c r="AN1008" s="140"/>
      <c r="AO1008" s="140"/>
      <c r="AP1008" s="140"/>
      <c r="AQ1008" s="140"/>
      <c r="AR1008" s="140"/>
      <c r="AS1008" s="140"/>
      <c r="AT1008" s="140"/>
      <c r="AU1008" s="140"/>
      <c r="AV1008" s="140"/>
      <c r="AW1008" s="140"/>
      <c r="AX1008" s="140"/>
      <c r="AY1008" s="140"/>
      <c r="AZ1008" s="140"/>
      <c r="BA1008" s="140"/>
      <c r="BB1008" s="140"/>
      <c r="BC1008" s="140"/>
      <c r="BD1008" s="140"/>
      <c r="BE1008" s="140"/>
    </row>
    <row r="1009" s="119" customFormat="1" ht="48" customHeight="1" outlineLevel="2" spans="1:57">
      <c r="A1009" s="162">
        <f t="shared" si="309"/>
        <v>8</v>
      </c>
      <c r="B1009" s="165" t="s">
        <v>84</v>
      </c>
      <c r="C1009" s="166" t="s">
        <v>83</v>
      </c>
      <c r="D1009" s="165" t="s">
        <v>63</v>
      </c>
      <c r="E1009" s="143">
        <f>0.345*3.4*2*2</f>
        <v>4.692</v>
      </c>
      <c r="F1009" s="143">
        <f>$F$18</f>
        <v>110</v>
      </c>
      <c r="G1009" s="143">
        <f>$G$18</f>
        <v>454.5</v>
      </c>
      <c r="H1009" s="143">
        <f>$H$18</f>
        <v>55.2</v>
      </c>
      <c r="I1009" s="17">
        <f t="shared" si="310"/>
        <v>61.97</v>
      </c>
      <c r="J1009" s="18">
        <f t="shared" si="311"/>
        <v>681.67</v>
      </c>
      <c r="K1009" s="19">
        <f t="shared" si="312"/>
        <v>3198.4</v>
      </c>
      <c r="L1009" s="135"/>
      <c r="M1009" s="139"/>
      <c r="N1009" s="139"/>
      <c r="O1009" s="139"/>
      <c r="P1009" s="37">
        <f t="shared" si="313"/>
        <v>619.7</v>
      </c>
      <c r="Q1009" s="99">
        <f>$Q$18</f>
        <v>450</v>
      </c>
      <c r="R1009" s="163">
        <f>$R$18</f>
        <v>0.01</v>
      </c>
      <c r="S1009" s="99">
        <f>$S$18</f>
        <v>110</v>
      </c>
      <c r="T1009" s="99">
        <f>$T$18</f>
        <v>54</v>
      </c>
      <c r="U1009" s="99">
        <f>$U$18</f>
        <v>1.2</v>
      </c>
      <c r="V1009" s="37">
        <f t="shared" si="314"/>
        <v>2907.6324</v>
      </c>
      <c r="W1009" s="139"/>
      <c r="X1009" s="139"/>
      <c r="Y1009" s="139"/>
      <c r="Z1009" s="139"/>
      <c r="AA1009" s="139"/>
      <c r="AB1009" s="139"/>
      <c r="AC1009" s="139"/>
      <c r="AD1009" s="139"/>
      <c r="AE1009" s="139"/>
      <c r="AF1009" s="140"/>
      <c r="AG1009" s="140"/>
      <c r="AH1009" s="140"/>
      <c r="AI1009" s="140"/>
      <c r="AJ1009" s="140"/>
      <c r="AK1009" s="140"/>
      <c r="AL1009" s="140"/>
      <c r="AM1009" s="140"/>
      <c r="AN1009" s="140"/>
      <c r="AO1009" s="140"/>
      <c r="AP1009" s="140"/>
      <c r="AQ1009" s="140"/>
      <c r="AR1009" s="140"/>
      <c r="AS1009" s="140"/>
      <c r="AT1009" s="140"/>
      <c r="AU1009" s="140"/>
      <c r="AV1009" s="140"/>
      <c r="AW1009" s="140"/>
      <c r="AX1009" s="140"/>
      <c r="AY1009" s="140"/>
      <c r="AZ1009" s="140"/>
      <c r="BA1009" s="140"/>
      <c r="BB1009" s="140"/>
      <c r="BC1009" s="140"/>
      <c r="BD1009" s="140"/>
      <c r="BE1009" s="140"/>
    </row>
    <row r="1010" s="119" customFormat="1" ht="60" customHeight="1" outlineLevel="2" spans="1:57">
      <c r="A1010" s="162">
        <f t="shared" si="309"/>
        <v>9</v>
      </c>
      <c r="B1010" s="165" t="s">
        <v>85</v>
      </c>
      <c r="C1010" s="166" t="s">
        <v>86</v>
      </c>
      <c r="D1010" s="165" t="s">
        <v>63</v>
      </c>
      <c r="E1010" s="143">
        <f>+(0.061+1.12+0.114+0.074)*0.95*2</f>
        <v>2.6011</v>
      </c>
      <c r="F1010" s="143">
        <f>$F$19</f>
        <v>110</v>
      </c>
      <c r="G1010" s="143">
        <f>$G$19</f>
        <v>454.5</v>
      </c>
      <c r="H1010" s="143">
        <f>$H$19</f>
        <v>55.2</v>
      </c>
      <c r="I1010" s="17">
        <f t="shared" si="310"/>
        <v>61.97</v>
      </c>
      <c r="J1010" s="18">
        <f t="shared" si="311"/>
        <v>681.67</v>
      </c>
      <c r="K1010" s="19">
        <f t="shared" si="312"/>
        <v>1773.09</v>
      </c>
      <c r="L1010" s="135"/>
      <c r="M1010" s="139"/>
      <c r="N1010" s="139"/>
      <c r="O1010" s="139"/>
      <c r="P1010" s="37">
        <f t="shared" si="313"/>
        <v>619.7</v>
      </c>
      <c r="Q1010" s="99">
        <f>$Q$19</f>
        <v>450</v>
      </c>
      <c r="R1010" s="163">
        <f>$R$19</f>
        <v>0.01</v>
      </c>
      <c r="S1010" s="99">
        <f>$S$19</f>
        <v>110</v>
      </c>
      <c r="T1010" s="99">
        <f>$T$19</f>
        <v>54</v>
      </c>
      <c r="U1010" s="99">
        <f>$U$19</f>
        <v>1.2</v>
      </c>
      <c r="V1010" s="37">
        <f t="shared" si="314"/>
        <v>1611.90167</v>
      </c>
      <c r="W1010" s="139"/>
      <c r="X1010" s="139"/>
      <c r="Y1010" s="139"/>
      <c r="Z1010" s="139"/>
      <c r="AA1010" s="139"/>
      <c r="AB1010" s="139"/>
      <c r="AC1010" s="139"/>
      <c r="AD1010" s="139"/>
      <c r="AE1010" s="139"/>
      <c r="AF1010" s="140"/>
      <c r="AG1010" s="140"/>
      <c r="AH1010" s="140"/>
      <c r="AI1010" s="140"/>
      <c r="AJ1010" s="140"/>
      <c r="AK1010" s="140"/>
      <c r="AL1010" s="140"/>
      <c r="AM1010" s="140"/>
      <c r="AN1010" s="140"/>
      <c r="AO1010" s="140"/>
      <c r="AP1010" s="140"/>
      <c r="AQ1010" s="140"/>
      <c r="AR1010" s="140"/>
      <c r="AS1010" s="140"/>
      <c r="AT1010" s="140"/>
      <c r="AU1010" s="140"/>
      <c r="AV1010" s="140"/>
      <c r="AW1010" s="140"/>
      <c r="AX1010" s="140"/>
      <c r="AY1010" s="140"/>
      <c r="AZ1010" s="140"/>
      <c r="BA1010" s="140"/>
      <c r="BB1010" s="140"/>
      <c r="BC1010" s="140"/>
      <c r="BD1010" s="140"/>
      <c r="BE1010" s="140"/>
    </row>
    <row r="1011" s="119" customFormat="1" ht="60" customHeight="1" outlineLevel="2" spans="1:57">
      <c r="A1011" s="162">
        <f t="shared" si="309"/>
        <v>10</v>
      </c>
      <c r="B1011" s="14" t="s">
        <v>87</v>
      </c>
      <c r="C1011" s="166" t="s">
        <v>88</v>
      </c>
      <c r="D1011" s="142" t="s">
        <v>63</v>
      </c>
      <c r="E1011" s="143">
        <v>0.253</v>
      </c>
      <c r="F1011" s="143">
        <f>$F$20</f>
        <v>110</v>
      </c>
      <c r="G1011" s="143">
        <f>$G$20</f>
        <v>454.5</v>
      </c>
      <c r="H1011" s="143">
        <f>$H$20</f>
        <v>55.2</v>
      </c>
      <c r="I1011" s="17">
        <f t="shared" si="310"/>
        <v>61.97</v>
      </c>
      <c r="J1011" s="18">
        <f t="shared" si="311"/>
        <v>681.67</v>
      </c>
      <c r="K1011" s="19">
        <f t="shared" si="312"/>
        <v>172.46</v>
      </c>
      <c r="L1011" s="135"/>
      <c r="M1011" s="139"/>
      <c r="N1011" s="139"/>
      <c r="O1011" s="139"/>
      <c r="P1011" s="37">
        <f t="shared" si="313"/>
        <v>619.7</v>
      </c>
      <c r="Q1011" s="99">
        <f>$Q$20</f>
        <v>450</v>
      </c>
      <c r="R1011" s="163">
        <f>$R$20</f>
        <v>0.01</v>
      </c>
      <c r="S1011" s="99">
        <f>$S$20</f>
        <v>110</v>
      </c>
      <c r="T1011" s="99">
        <f>$T$20</f>
        <v>54</v>
      </c>
      <c r="U1011" s="99">
        <f>$U$20</f>
        <v>1.2</v>
      </c>
      <c r="V1011" s="37">
        <f t="shared" si="314"/>
        <v>156.7841</v>
      </c>
      <c r="W1011" s="139"/>
      <c r="X1011" s="139"/>
      <c r="Y1011" s="139"/>
      <c r="Z1011" s="139"/>
      <c r="AA1011" s="139"/>
      <c r="AB1011" s="139"/>
      <c r="AC1011" s="139"/>
      <c r="AD1011" s="139"/>
      <c r="AE1011" s="139"/>
      <c r="AF1011" s="140"/>
      <c r="AG1011" s="140"/>
      <c r="AH1011" s="140"/>
      <c r="AI1011" s="140"/>
      <c r="AJ1011" s="140"/>
      <c r="AK1011" s="140"/>
      <c r="AL1011" s="140"/>
      <c r="AM1011" s="140"/>
      <c r="AN1011" s="140"/>
      <c r="AO1011" s="140"/>
      <c r="AP1011" s="140"/>
      <c r="AQ1011" s="140"/>
      <c r="AR1011" s="140"/>
      <c r="AS1011" s="140"/>
      <c r="AT1011" s="140"/>
      <c r="AU1011" s="140"/>
      <c r="AV1011" s="140"/>
      <c r="AW1011" s="140"/>
      <c r="AX1011" s="140"/>
      <c r="AY1011" s="140"/>
      <c r="AZ1011" s="140"/>
      <c r="BA1011" s="140"/>
      <c r="BB1011" s="140"/>
      <c r="BC1011" s="140"/>
      <c r="BD1011" s="140"/>
      <c r="BE1011" s="140"/>
    </row>
    <row r="1012" s="119" customFormat="1" ht="60" customHeight="1" outlineLevel="2" spans="1:57">
      <c r="A1012" s="162">
        <f t="shared" si="309"/>
        <v>11</v>
      </c>
      <c r="B1012" s="14" t="s">
        <v>91</v>
      </c>
      <c r="C1012" s="15" t="s">
        <v>92</v>
      </c>
      <c r="D1012" s="142" t="s">
        <v>70</v>
      </c>
      <c r="E1012" s="143">
        <v>0.253</v>
      </c>
      <c r="F1012" s="143">
        <f>$F$22</f>
        <v>12</v>
      </c>
      <c r="G1012" s="143">
        <f>$G$22</f>
        <v>25.75</v>
      </c>
      <c r="H1012" s="143">
        <f>$H$22</f>
        <v>3.8</v>
      </c>
      <c r="I1012" s="17">
        <f t="shared" si="310"/>
        <v>4.155</v>
      </c>
      <c r="J1012" s="18">
        <f t="shared" si="311"/>
        <v>45.71</v>
      </c>
      <c r="K1012" s="19">
        <f t="shared" si="312"/>
        <v>11.56</v>
      </c>
      <c r="L1012" s="135"/>
      <c r="M1012" s="139"/>
      <c r="N1012" s="139"/>
      <c r="O1012" s="139"/>
      <c r="P1012" s="37">
        <f t="shared" si="313"/>
        <v>41.55</v>
      </c>
      <c r="Q1012" s="99">
        <f>$Q$22</f>
        <v>25</v>
      </c>
      <c r="R1012" s="163">
        <f>$R$22</f>
        <v>0.03</v>
      </c>
      <c r="S1012" s="99">
        <f>$S$22</f>
        <v>12</v>
      </c>
      <c r="T1012" s="99">
        <f>$T$22</f>
        <v>3.5</v>
      </c>
      <c r="U1012" s="99">
        <f>$U$22</f>
        <v>0.3</v>
      </c>
      <c r="V1012" s="37">
        <f t="shared" si="314"/>
        <v>10.51215</v>
      </c>
      <c r="W1012" s="139"/>
      <c r="X1012" s="139"/>
      <c r="Y1012" s="139"/>
      <c r="Z1012" s="139"/>
      <c r="AA1012" s="139"/>
      <c r="AB1012" s="139"/>
      <c r="AC1012" s="139"/>
      <c r="AD1012" s="139"/>
      <c r="AE1012" s="139"/>
      <c r="AF1012" s="140"/>
      <c r="AG1012" s="140"/>
      <c r="AH1012" s="140"/>
      <c r="AI1012" s="140"/>
      <c r="AJ1012" s="140"/>
      <c r="AK1012" s="140"/>
      <c r="AL1012" s="140"/>
      <c r="AM1012" s="140"/>
      <c r="AN1012" s="140"/>
      <c r="AO1012" s="140"/>
      <c r="AP1012" s="140"/>
      <c r="AQ1012" s="140"/>
      <c r="AR1012" s="140"/>
      <c r="AS1012" s="140"/>
      <c r="AT1012" s="140"/>
      <c r="AU1012" s="140"/>
      <c r="AV1012" s="140"/>
      <c r="AW1012" s="140"/>
      <c r="AX1012" s="140"/>
      <c r="AY1012" s="140"/>
      <c r="AZ1012" s="140"/>
      <c r="BA1012" s="140"/>
      <c r="BB1012" s="140"/>
      <c r="BC1012" s="140"/>
      <c r="BD1012" s="140"/>
      <c r="BE1012" s="140"/>
    </row>
    <row r="1013" s="119" customFormat="1" ht="60" customHeight="1" outlineLevel="2" spans="1:57">
      <c r="A1013" s="162">
        <f t="shared" si="309"/>
        <v>12</v>
      </c>
      <c r="B1013" s="14" t="s">
        <v>99</v>
      </c>
      <c r="C1013" s="15" t="s">
        <v>100</v>
      </c>
      <c r="D1013" s="142" t="s">
        <v>70</v>
      </c>
      <c r="E1013" s="143">
        <v>68.103</v>
      </c>
      <c r="F1013" s="143">
        <f>$F$26</f>
        <v>12</v>
      </c>
      <c r="G1013" s="143">
        <f>$G$26</f>
        <v>23.4325</v>
      </c>
      <c r="H1013" s="143">
        <f>$H$26</f>
        <v>3.8</v>
      </c>
      <c r="I1013" s="17">
        <f t="shared" si="310"/>
        <v>3.92325</v>
      </c>
      <c r="J1013" s="18">
        <f t="shared" si="311"/>
        <v>43.16</v>
      </c>
      <c r="K1013" s="19">
        <f t="shared" si="312"/>
        <v>2939.33</v>
      </c>
      <c r="L1013" s="135"/>
      <c r="M1013" s="139"/>
      <c r="N1013" s="139"/>
      <c r="O1013" s="139"/>
      <c r="P1013" s="37">
        <f t="shared" si="313"/>
        <v>39.2325</v>
      </c>
      <c r="Q1013" s="99">
        <f>$Q$26</f>
        <v>22.75</v>
      </c>
      <c r="R1013" s="163">
        <f>$R$26</f>
        <v>0.03</v>
      </c>
      <c r="S1013" s="99">
        <f>$S$26</f>
        <v>12</v>
      </c>
      <c r="T1013" s="99">
        <f>$T$26</f>
        <v>3.5</v>
      </c>
      <c r="U1013" s="99">
        <f>$U$26</f>
        <v>0.3</v>
      </c>
      <c r="V1013" s="37">
        <f t="shared" si="314"/>
        <v>2671.8509475</v>
      </c>
      <c r="W1013" s="139"/>
      <c r="X1013" s="139"/>
      <c r="Y1013" s="139"/>
      <c r="Z1013" s="139"/>
      <c r="AA1013" s="139"/>
      <c r="AB1013" s="139"/>
      <c r="AC1013" s="139"/>
      <c r="AD1013" s="139"/>
      <c r="AE1013" s="139"/>
      <c r="AF1013" s="140"/>
      <c r="AG1013" s="140"/>
      <c r="AH1013" s="140"/>
      <c r="AI1013" s="140"/>
      <c r="AJ1013" s="140"/>
      <c r="AK1013" s="140"/>
      <c r="AL1013" s="140"/>
      <c r="AM1013" s="140"/>
      <c r="AN1013" s="140"/>
      <c r="AO1013" s="140"/>
      <c r="AP1013" s="140"/>
      <c r="AQ1013" s="140"/>
      <c r="AR1013" s="140"/>
      <c r="AS1013" s="140"/>
      <c r="AT1013" s="140"/>
      <c r="AU1013" s="140"/>
      <c r="AV1013" s="140"/>
      <c r="AW1013" s="140"/>
      <c r="AX1013" s="140"/>
      <c r="AY1013" s="140"/>
      <c r="AZ1013" s="140"/>
      <c r="BA1013" s="140"/>
      <c r="BB1013" s="140"/>
      <c r="BC1013" s="140"/>
      <c r="BD1013" s="140"/>
      <c r="BE1013" s="140"/>
    </row>
    <row r="1014" s="119" customFormat="1" ht="60" customHeight="1" outlineLevel="2" spans="1:57">
      <c r="A1014" s="162">
        <f t="shared" si="309"/>
        <v>13</v>
      </c>
      <c r="B1014" s="14" t="s">
        <v>239</v>
      </c>
      <c r="C1014" s="15" t="s">
        <v>240</v>
      </c>
      <c r="D1014" s="165" t="s">
        <v>63</v>
      </c>
      <c r="E1014" s="143">
        <f>+(1.75+3.6-1)*2*3*0.095</f>
        <v>2.4795</v>
      </c>
      <c r="F1014" s="143">
        <f>$F$356</f>
        <v>110</v>
      </c>
      <c r="G1014" s="143">
        <f>$G$356</f>
        <v>454.5</v>
      </c>
      <c r="H1014" s="143">
        <f>$H$356</f>
        <v>55.2</v>
      </c>
      <c r="I1014" s="17">
        <f t="shared" si="310"/>
        <v>61.97</v>
      </c>
      <c r="J1014" s="18">
        <f t="shared" si="311"/>
        <v>681.67</v>
      </c>
      <c r="K1014" s="19">
        <f t="shared" si="312"/>
        <v>1690.2</v>
      </c>
      <c r="L1014" s="135"/>
      <c r="M1014" s="139"/>
      <c r="N1014" s="139"/>
      <c r="O1014" s="139"/>
      <c r="P1014" s="37">
        <f t="shared" si="313"/>
        <v>619.7</v>
      </c>
      <c r="Q1014" s="99">
        <f>$Q$356</f>
        <v>450</v>
      </c>
      <c r="R1014" s="163">
        <f>$R$356</f>
        <v>0.01</v>
      </c>
      <c r="S1014" s="99">
        <f>$S$356</f>
        <v>110</v>
      </c>
      <c r="T1014" s="99">
        <f>$T$356</f>
        <v>54</v>
      </c>
      <c r="U1014" s="99">
        <f>$U$356</f>
        <v>1.2</v>
      </c>
      <c r="V1014" s="37">
        <f t="shared" si="314"/>
        <v>1536.54615</v>
      </c>
      <c r="W1014" s="139"/>
      <c r="X1014" s="139"/>
      <c r="Y1014" s="139"/>
      <c r="Z1014" s="139"/>
      <c r="AA1014" s="139"/>
      <c r="AB1014" s="139"/>
      <c r="AC1014" s="139"/>
      <c r="AD1014" s="139"/>
      <c r="AE1014" s="139"/>
      <c r="AF1014" s="140"/>
      <c r="AG1014" s="140"/>
      <c r="AH1014" s="140"/>
      <c r="AI1014" s="140"/>
      <c r="AJ1014" s="140"/>
      <c r="AK1014" s="140"/>
      <c r="AL1014" s="140"/>
      <c r="AM1014" s="140"/>
      <c r="AN1014" s="140"/>
      <c r="AO1014" s="140"/>
      <c r="AP1014" s="140"/>
      <c r="AQ1014" s="140"/>
      <c r="AR1014" s="140"/>
      <c r="AS1014" s="140"/>
      <c r="AT1014" s="140"/>
      <c r="AU1014" s="140"/>
      <c r="AV1014" s="140"/>
      <c r="AW1014" s="140"/>
      <c r="AX1014" s="140"/>
      <c r="AY1014" s="140"/>
      <c r="AZ1014" s="140"/>
      <c r="BA1014" s="140"/>
      <c r="BB1014" s="140"/>
      <c r="BC1014" s="140"/>
      <c r="BD1014" s="140"/>
      <c r="BE1014" s="140"/>
    </row>
    <row r="1015" s="119" customFormat="1" ht="24" customHeight="1" outlineLevel="1" spans="1:57">
      <c r="A1015" s="141"/>
      <c r="B1015" s="14" t="s">
        <v>101</v>
      </c>
      <c r="C1015" s="15"/>
      <c r="D1015" s="142"/>
      <c r="E1015" s="143"/>
      <c r="F1015" s="143"/>
      <c r="G1015" s="143"/>
      <c r="H1015" s="143"/>
      <c r="I1015" s="143"/>
      <c r="J1015" s="143"/>
      <c r="K1015" s="144"/>
      <c r="L1015" s="135"/>
      <c r="M1015" s="139"/>
      <c r="N1015" s="139"/>
      <c r="O1015" s="139"/>
      <c r="P1015" s="137"/>
      <c r="Q1015" s="137"/>
      <c r="R1015" s="138"/>
      <c r="S1015" s="137"/>
      <c r="T1015" s="137"/>
      <c r="U1015" s="137"/>
      <c r="V1015" s="137"/>
      <c r="W1015" s="139"/>
      <c r="X1015" s="139"/>
      <c r="Y1015" s="139"/>
      <c r="Z1015" s="139"/>
      <c r="AA1015" s="139"/>
      <c r="AB1015" s="139"/>
      <c r="AC1015" s="139"/>
      <c r="AD1015" s="139"/>
      <c r="AE1015" s="139"/>
      <c r="AF1015" s="140"/>
      <c r="AG1015" s="140"/>
      <c r="AH1015" s="140"/>
      <c r="AI1015" s="140"/>
      <c r="AJ1015" s="140"/>
      <c r="AK1015" s="140"/>
      <c r="AL1015" s="140"/>
      <c r="AM1015" s="140"/>
      <c r="AN1015" s="140"/>
      <c r="AO1015" s="140"/>
      <c r="AP1015" s="140"/>
      <c r="AQ1015" s="140"/>
      <c r="AR1015" s="140"/>
      <c r="AS1015" s="140"/>
      <c r="AT1015" s="140"/>
      <c r="AU1015" s="140"/>
      <c r="AV1015" s="140"/>
      <c r="AW1015" s="140"/>
      <c r="AX1015" s="140"/>
      <c r="AY1015" s="140"/>
      <c r="AZ1015" s="140"/>
      <c r="BA1015" s="140"/>
      <c r="BB1015" s="140"/>
      <c r="BC1015" s="140"/>
      <c r="BD1015" s="140"/>
      <c r="BE1015" s="140"/>
    </row>
    <row r="1016" s="119" customFormat="1" ht="72" customHeight="1" outlineLevel="2" spans="1:57">
      <c r="A1016" s="162">
        <f t="shared" ref="A1016:A1024" si="315">1+N(A1015)</f>
        <v>1</v>
      </c>
      <c r="B1016" s="14" t="s">
        <v>102</v>
      </c>
      <c r="C1016" s="167" t="s">
        <v>265</v>
      </c>
      <c r="D1016" s="142" t="s">
        <v>63</v>
      </c>
      <c r="E1016" s="143">
        <v>60.033</v>
      </c>
      <c r="F1016" s="143">
        <f>$F$468</f>
        <v>75</v>
      </c>
      <c r="G1016" s="143">
        <f>$G$468</f>
        <v>0</v>
      </c>
      <c r="H1016" s="143">
        <f>$H$468</f>
        <v>66.711</v>
      </c>
      <c r="I1016" s="17">
        <f t="shared" ref="I1016:I1024" si="316">(F1016+G1016+H1016)*$I$3</f>
        <v>14.1711</v>
      </c>
      <c r="J1016" s="18">
        <f t="shared" ref="J1016:J1024" si="317">ROUND(SUM(F1016:I1016),2)</f>
        <v>155.88</v>
      </c>
      <c r="K1016" s="19">
        <f t="shared" ref="K1016:K1024" si="318">ROUND(J1016*E1016,2)</f>
        <v>9357.94</v>
      </c>
      <c r="L1016" s="135"/>
      <c r="M1016" s="139"/>
      <c r="N1016" s="139"/>
      <c r="O1016" s="139"/>
      <c r="P1016" s="37">
        <f t="shared" ref="P1016:P1024" si="319">Q1016+Q1016*R1016+S1016+T1016+U1016</f>
        <v>141.711</v>
      </c>
      <c r="Q1016" s="99">
        <f>$Q$468</f>
        <v>0</v>
      </c>
      <c r="R1016" s="163">
        <f>$R$468</f>
        <v>0.01</v>
      </c>
      <c r="S1016" s="99">
        <f>$S$468</f>
        <v>75</v>
      </c>
      <c r="T1016" s="99">
        <f>$T$468</f>
        <v>64.711</v>
      </c>
      <c r="U1016" s="99">
        <f>$U$468</f>
        <v>2</v>
      </c>
      <c r="V1016" s="37">
        <f t="shared" ref="V1016:V1024" si="320">P1016*E1016</f>
        <v>8507.336463</v>
      </c>
      <c r="W1016" s="139"/>
      <c r="X1016" s="139"/>
      <c r="Y1016" s="139"/>
      <c r="Z1016" s="139"/>
      <c r="AA1016" s="139"/>
      <c r="AB1016" s="139"/>
      <c r="AC1016" s="139"/>
      <c r="AD1016" s="139"/>
      <c r="AE1016" s="139"/>
      <c r="AF1016" s="140"/>
      <c r="AG1016" s="140"/>
      <c r="AH1016" s="140"/>
      <c r="AI1016" s="140"/>
      <c r="AJ1016" s="140"/>
      <c r="AK1016" s="140"/>
      <c r="AL1016" s="140"/>
      <c r="AM1016" s="140"/>
      <c r="AN1016" s="140"/>
      <c r="AO1016" s="140"/>
      <c r="AP1016" s="140"/>
      <c r="AQ1016" s="140"/>
      <c r="AR1016" s="140"/>
      <c r="AS1016" s="140"/>
      <c r="AT1016" s="140"/>
      <c r="AU1016" s="140"/>
      <c r="AV1016" s="140"/>
      <c r="AW1016" s="140"/>
      <c r="AX1016" s="140"/>
      <c r="AY1016" s="140"/>
      <c r="AZ1016" s="140"/>
      <c r="BA1016" s="140"/>
      <c r="BB1016" s="140"/>
      <c r="BC1016" s="140"/>
      <c r="BD1016" s="140"/>
      <c r="BE1016" s="140"/>
    </row>
    <row r="1017" s="119" customFormat="1" ht="72" customHeight="1" outlineLevel="2" spans="1:57">
      <c r="A1017" s="162">
        <f t="shared" si="315"/>
        <v>2</v>
      </c>
      <c r="B1017" s="14" t="s">
        <v>266</v>
      </c>
      <c r="C1017" s="167" t="s">
        <v>267</v>
      </c>
      <c r="D1017" s="142" t="s">
        <v>63</v>
      </c>
      <c r="E1017" s="143">
        <v>22.214</v>
      </c>
      <c r="F1017" s="143">
        <f>$F$469</f>
        <v>75</v>
      </c>
      <c r="G1017" s="143">
        <f>$G$469</f>
        <v>330</v>
      </c>
      <c r="H1017" s="143">
        <f>$H$469</f>
        <v>28</v>
      </c>
      <c r="I1017" s="17">
        <f t="shared" si="316"/>
        <v>43.3</v>
      </c>
      <c r="J1017" s="18">
        <f t="shared" si="317"/>
        <v>476.3</v>
      </c>
      <c r="K1017" s="19">
        <f t="shared" si="318"/>
        <v>10580.53</v>
      </c>
      <c r="L1017" s="135"/>
      <c r="M1017" s="139"/>
      <c r="N1017" s="139"/>
      <c r="O1017" s="139"/>
      <c r="P1017" s="37">
        <f t="shared" si="319"/>
        <v>433</v>
      </c>
      <c r="Q1017" s="99">
        <f>$Q$469</f>
        <v>330</v>
      </c>
      <c r="R1017" s="163">
        <f>$R$469</f>
        <v>0</v>
      </c>
      <c r="S1017" s="99">
        <f>$S$469</f>
        <v>75</v>
      </c>
      <c r="T1017" s="99">
        <f>$T$469</f>
        <v>25</v>
      </c>
      <c r="U1017" s="99">
        <f>$U$469</f>
        <v>3</v>
      </c>
      <c r="V1017" s="37">
        <f t="shared" si="320"/>
        <v>9618.662</v>
      </c>
      <c r="W1017" s="139"/>
      <c r="X1017" s="139"/>
      <c r="Y1017" s="139"/>
      <c r="Z1017" s="139"/>
      <c r="AA1017" s="139"/>
      <c r="AB1017" s="139"/>
      <c r="AC1017" s="139"/>
      <c r="AD1017" s="139"/>
      <c r="AE1017" s="139"/>
      <c r="AF1017" s="140"/>
      <c r="AG1017" s="140"/>
      <c r="AH1017" s="140"/>
      <c r="AI1017" s="140"/>
      <c r="AJ1017" s="140"/>
      <c r="AK1017" s="140"/>
      <c r="AL1017" s="140"/>
      <c r="AM1017" s="140"/>
      <c r="AN1017" s="140"/>
      <c r="AO1017" s="140"/>
      <c r="AP1017" s="140"/>
      <c r="AQ1017" s="140"/>
      <c r="AR1017" s="140"/>
      <c r="AS1017" s="140"/>
      <c r="AT1017" s="140"/>
      <c r="AU1017" s="140"/>
      <c r="AV1017" s="140"/>
      <c r="AW1017" s="140"/>
      <c r="AX1017" s="140"/>
      <c r="AY1017" s="140"/>
      <c r="AZ1017" s="140"/>
      <c r="BA1017" s="140"/>
      <c r="BB1017" s="140"/>
      <c r="BC1017" s="140"/>
      <c r="BD1017" s="140"/>
      <c r="BE1017" s="140"/>
    </row>
    <row r="1018" s="119" customFormat="1" ht="48" customHeight="1" outlineLevel="2" spans="1:57">
      <c r="A1018" s="162">
        <f t="shared" si="315"/>
        <v>3</v>
      </c>
      <c r="B1018" s="14" t="s">
        <v>133</v>
      </c>
      <c r="C1018" s="167" t="s">
        <v>134</v>
      </c>
      <c r="D1018" s="142" t="s">
        <v>63</v>
      </c>
      <c r="E1018" s="143">
        <v>1.72</v>
      </c>
      <c r="F1018" s="143">
        <f>$F$76</f>
        <v>80</v>
      </c>
      <c r="G1018" s="143">
        <f>$G$76</f>
        <v>232.3</v>
      </c>
      <c r="H1018" s="143">
        <f>$H$76</f>
        <v>37.3</v>
      </c>
      <c r="I1018" s="17">
        <f t="shared" si="316"/>
        <v>34.96</v>
      </c>
      <c r="J1018" s="18">
        <f t="shared" si="317"/>
        <v>384.56</v>
      </c>
      <c r="K1018" s="19">
        <f t="shared" si="318"/>
        <v>661.44</v>
      </c>
      <c r="L1018" s="135"/>
      <c r="M1018" s="139"/>
      <c r="N1018" s="139"/>
      <c r="O1018" s="139"/>
      <c r="P1018" s="37">
        <f t="shared" si="319"/>
        <v>349.6</v>
      </c>
      <c r="Q1018" s="99">
        <f>$Q$76</f>
        <v>230</v>
      </c>
      <c r="R1018" s="163">
        <f>$R$76</f>
        <v>0.01</v>
      </c>
      <c r="S1018" s="99">
        <f>$S$76</f>
        <v>80</v>
      </c>
      <c r="T1018" s="99">
        <f>$T$76</f>
        <v>37</v>
      </c>
      <c r="U1018" s="99">
        <f>$U$76</f>
        <v>0.3</v>
      </c>
      <c r="V1018" s="37">
        <f t="shared" si="320"/>
        <v>601.312</v>
      </c>
      <c r="W1018" s="139"/>
      <c r="X1018" s="139"/>
      <c r="Y1018" s="139"/>
      <c r="Z1018" s="139"/>
      <c r="AA1018" s="139"/>
      <c r="AB1018" s="139"/>
      <c r="AC1018" s="139"/>
      <c r="AD1018" s="139"/>
      <c r="AE1018" s="139"/>
      <c r="AF1018" s="140"/>
      <c r="AG1018" s="140"/>
      <c r="AH1018" s="140"/>
      <c r="AI1018" s="140"/>
      <c r="AJ1018" s="140"/>
      <c r="AK1018" s="140"/>
      <c r="AL1018" s="140"/>
      <c r="AM1018" s="140"/>
      <c r="AN1018" s="140"/>
      <c r="AO1018" s="140"/>
      <c r="AP1018" s="140"/>
      <c r="AQ1018" s="140"/>
      <c r="AR1018" s="140"/>
      <c r="AS1018" s="140"/>
      <c r="AT1018" s="140"/>
      <c r="AU1018" s="140"/>
      <c r="AV1018" s="140"/>
      <c r="AW1018" s="140"/>
      <c r="AX1018" s="140"/>
      <c r="AY1018" s="140"/>
      <c r="AZ1018" s="140"/>
      <c r="BA1018" s="140"/>
      <c r="BB1018" s="140"/>
      <c r="BC1018" s="140"/>
      <c r="BD1018" s="140"/>
      <c r="BE1018" s="140"/>
    </row>
    <row r="1019" s="119" customFormat="1" ht="72" customHeight="1" outlineLevel="2" spans="1:57">
      <c r="A1019" s="162">
        <f t="shared" si="315"/>
        <v>4</v>
      </c>
      <c r="B1019" s="14" t="s">
        <v>106</v>
      </c>
      <c r="C1019" s="15" t="s">
        <v>437</v>
      </c>
      <c r="D1019" s="142" t="s">
        <v>70</v>
      </c>
      <c r="E1019" s="143">
        <v>6.403</v>
      </c>
      <c r="F1019" s="143">
        <f>$F$927</f>
        <v>18</v>
      </c>
      <c r="G1019" s="143">
        <f>$G$927</f>
        <v>163.255</v>
      </c>
      <c r="H1019" s="143">
        <f>$H$927</f>
        <v>3.8</v>
      </c>
      <c r="I1019" s="17">
        <f t="shared" si="316"/>
        <v>18.5055</v>
      </c>
      <c r="J1019" s="18">
        <f t="shared" si="317"/>
        <v>203.56</v>
      </c>
      <c r="K1019" s="19">
        <f t="shared" si="318"/>
        <v>1303.39</v>
      </c>
      <c r="L1019" s="135"/>
      <c r="M1019" s="139"/>
      <c r="N1019" s="139"/>
      <c r="O1019" s="139"/>
      <c r="P1019" s="37">
        <f t="shared" si="319"/>
        <v>185.055</v>
      </c>
      <c r="Q1019" s="99">
        <f>$Q$927</f>
        <v>158.5</v>
      </c>
      <c r="R1019" s="163">
        <f>$R$927</f>
        <v>0.03</v>
      </c>
      <c r="S1019" s="99">
        <f>$S$927</f>
        <v>18</v>
      </c>
      <c r="T1019" s="99">
        <f>$T$927</f>
        <v>3.5</v>
      </c>
      <c r="U1019" s="99">
        <f>$U$927</f>
        <v>0.3</v>
      </c>
      <c r="V1019" s="37">
        <f t="shared" si="320"/>
        <v>1184.907165</v>
      </c>
      <c r="W1019" s="139"/>
      <c r="X1019" s="139"/>
      <c r="Y1019" s="139"/>
      <c r="Z1019" s="139"/>
      <c r="AA1019" s="139"/>
      <c r="AB1019" s="139"/>
      <c r="AC1019" s="139"/>
      <c r="AD1019" s="139"/>
      <c r="AE1019" s="139"/>
      <c r="AF1019" s="140"/>
      <c r="AG1019" s="140"/>
      <c r="AH1019" s="140"/>
      <c r="AI1019" s="140"/>
      <c r="AJ1019" s="140"/>
      <c r="AK1019" s="140"/>
      <c r="AL1019" s="140"/>
      <c r="AM1019" s="140"/>
      <c r="AN1019" s="140"/>
      <c r="AO1019" s="140"/>
      <c r="AP1019" s="140"/>
      <c r="AQ1019" s="140"/>
      <c r="AR1019" s="140"/>
      <c r="AS1019" s="140"/>
      <c r="AT1019" s="140"/>
      <c r="AU1019" s="140"/>
      <c r="AV1019" s="140"/>
      <c r="AW1019" s="140"/>
      <c r="AX1019" s="140"/>
      <c r="AY1019" s="140"/>
      <c r="AZ1019" s="140"/>
      <c r="BA1019" s="140"/>
      <c r="BB1019" s="140"/>
      <c r="BC1019" s="140"/>
      <c r="BD1019" s="140"/>
      <c r="BE1019" s="140"/>
    </row>
    <row r="1020" s="119" customFormat="1" ht="60" customHeight="1" outlineLevel="2" spans="1:57">
      <c r="A1020" s="162">
        <f t="shared" si="315"/>
        <v>5</v>
      </c>
      <c r="B1020" s="14" t="s">
        <v>108</v>
      </c>
      <c r="C1020" s="15" t="s">
        <v>109</v>
      </c>
      <c r="D1020" s="142" t="s">
        <v>70</v>
      </c>
      <c r="E1020" s="143">
        <f>1.5+2.14+1*2</f>
        <v>5.64</v>
      </c>
      <c r="F1020" s="143">
        <f>$F$31</f>
        <v>30</v>
      </c>
      <c r="G1020" s="143">
        <f>$G$31</f>
        <v>65.6625</v>
      </c>
      <c r="H1020" s="143">
        <f>$H$31</f>
        <v>2.7</v>
      </c>
      <c r="I1020" s="17">
        <f t="shared" si="316"/>
        <v>9.83625</v>
      </c>
      <c r="J1020" s="18">
        <f t="shared" si="317"/>
        <v>108.2</v>
      </c>
      <c r="K1020" s="19">
        <f t="shared" si="318"/>
        <v>610.25</v>
      </c>
      <c r="L1020" s="135"/>
      <c r="M1020" s="139"/>
      <c r="N1020" s="139"/>
      <c r="O1020" s="139"/>
      <c r="P1020" s="37">
        <f t="shared" si="319"/>
        <v>98.3625</v>
      </c>
      <c r="Q1020" s="99">
        <f>$Q$31</f>
        <v>63.75</v>
      </c>
      <c r="R1020" s="163">
        <f>$R$31</f>
        <v>0.03</v>
      </c>
      <c r="S1020" s="99">
        <f>$S$31</f>
        <v>30</v>
      </c>
      <c r="T1020" s="99">
        <f>$T$31</f>
        <v>2.5</v>
      </c>
      <c r="U1020" s="99">
        <f>$U$31</f>
        <v>0.2</v>
      </c>
      <c r="V1020" s="37">
        <f t="shared" si="320"/>
        <v>554.7645</v>
      </c>
      <c r="W1020" s="139"/>
      <c r="X1020" s="139"/>
      <c r="Y1020" s="139"/>
      <c r="Z1020" s="139"/>
      <c r="AA1020" s="139"/>
      <c r="AB1020" s="139"/>
      <c r="AC1020" s="139"/>
      <c r="AD1020" s="139"/>
      <c r="AE1020" s="139"/>
      <c r="AF1020" s="140"/>
      <c r="AG1020" s="140"/>
      <c r="AH1020" s="140"/>
      <c r="AI1020" s="140"/>
      <c r="AJ1020" s="140"/>
      <c r="AK1020" s="140"/>
      <c r="AL1020" s="140"/>
      <c r="AM1020" s="140"/>
      <c r="AN1020" s="140"/>
      <c r="AO1020" s="140"/>
      <c r="AP1020" s="140"/>
      <c r="AQ1020" s="140"/>
      <c r="AR1020" s="140"/>
      <c r="AS1020" s="140"/>
      <c r="AT1020" s="140"/>
      <c r="AU1020" s="140"/>
      <c r="AV1020" s="140"/>
      <c r="AW1020" s="140"/>
      <c r="AX1020" s="140"/>
      <c r="AY1020" s="140"/>
      <c r="AZ1020" s="140"/>
      <c r="BA1020" s="140"/>
      <c r="BB1020" s="140"/>
      <c r="BC1020" s="140"/>
      <c r="BD1020" s="140"/>
      <c r="BE1020" s="140"/>
    </row>
    <row r="1021" s="119" customFormat="1" ht="60" customHeight="1" outlineLevel="2" spans="1:57">
      <c r="A1021" s="162">
        <f t="shared" si="315"/>
        <v>6</v>
      </c>
      <c r="B1021" s="14" t="s">
        <v>104</v>
      </c>
      <c r="C1021" s="15" t="s">
        <v>105</v>
      </c>
      <c r="D1021" s="142" t="s">
        <v>70</v>
      </c>
      <c r="E1021" s="143">
        <f>6.403+6.403</f>
        <v>12.806</v>
      </c>
      <c r="F1021" s="143">
        <f>$F$29</f>
        <v>50</v>
      </c>
      <c r="G1021" s="143">
        <f>$G$29</f>
        <v>0</v>
      </c>
      <c r="H1021" s="143">
        <f>$H$29</f>
        <v>22.0941</v>
      </c>
      <c r="I1021" s="17">
        <f t="shared" si="316"/>
        <v>7.20941</v>
      </c>
      <c r="J1021" s="18">
        <f t="shared" si="317"/>
        <v>79.3</v>
      </c>
      <c r="K1021" s="19">
        <f t="shared" si="318"/>
        <v>1015.52</v>
      </c>
      <c r="L1021" s="135"/>
      <c r="M1021" s="139"/>
      <c r="N1021" s="139"/>
      <c r="O1021" s="139"/>
      <c r="P1021" s="37">
        <f t="shared" si="319"/>
        <v>72.0941</v>
      </c>
      <c r="Q1021" s="99">
        <f>$Q$29</f>
        <v>0</v>
      </c>
      <c r="R1021" s="163">
        <f>$R$29</f>
        <v>0.01</v>
      </c>
      <c r="S1021" s="99">
        <f>$S$29</f>
        <v>50</v>
      </c>
      <c r="T1021" s="99">
        <f>$T$29</f>
        <v>22.0941</v>
      </c>
      <c r="U1021" s="99">
        <f>$U$29</f>
        <v>0</v>
      </c>
      <c r="V1021" s="37">
        <f t="shared" si="320"/>
        <v>923.2370446</v>
      </c>
      <c r="W1021" s="139"/>
      <c r="X1021" s="139"/>
      <c r="Y1021" s="139"/>
      <c r="Z1021" s="139"/>
      <c r="AA1021" s="139"/>
      <c r="AB1021" s="139"/>
      <c r="AC1021" s="139"/>
      <c r="AD1021" s="139"/>
      <c r="AE1021" s="139"/>
      <c r="AF1021" s="140"/>
      <c r="AG1021" s="140"/>
      <c r="AH1021" s="140"/>
      <c r="AI1021" s="140"/>
      <c r="AJ1021" s="140"/>
      <c r="AK1021" s="140"/>
      <c r="AL1021" s="140"/>
      <c r="AM1021" s="140"/>
      <c r="AN1021" s="140"/>
      <c r="AO1021" s="140"/>
      <c r="AP1021" s="140"/>
      <c r="AQ1021" s="140"/>
      <c r="AR1021" s="140"/>
      <c r="AS1021" s="140"/>
      <c r="AT1021" s="140"/>
      <c r="AU1021" s="140"/>
      <c r="AV1021" s="140"/>
      <c r="AW1021" s="140"/>
      <c r="AX1021" s="140"/>
      <c r="AY1021" s="140"/>
      <c r="AZ1021" s="140"/>
      <c r="BA1021" s="140"/>
      <c r="BB1021" s="140"/>
      <c r="BC1021" s="140"/>
      <c r="BD1021" s="140"/>
      <c r="BE1021" s="140"/>
    </row>
    <row r="1022" s="119" customFormat="1" ht="60" customHeight="1" outlineLevel="2" spans="1:57">
      <c r="A1022" s="145">
        <f t="shared" si="315"/>
        <v>7</v>
      </c>
      <c r="B1022" s="146" t="s">
        <v>484</v>
      </c>
      <c r="C1022" s="147" t="s">
        <v>485</v>
      </c>
      <c r="D1022" s="148" t="s">
        <v>70</v>
      </c>
      <c r="E1022" s="149">
        <v>6.078</v>
      </c>
      <c r="F1022" s="149">
        <f>S1022*$S$1</f>
        <v>55</v>
      </c>
      <c r="G1022" s="149">
        <f>Q1022*(1+R1022)*$Q$1</f>
        <v>0</v>
      </c>
      <c r="H1022" s="149">
        <f>(T1022+U1022)*$T$1</f>
        <v>29.6688</v>
      </c>
      <c r="I1022" s="150">
        <f t="shared" si="316"/>
        <v>8.46688</v>
      </c>
      <c r="J1022" s="151">
        <f t="shared" si="317"/>
        <v>93.14</v>
      </c>
      <c r="K1022" s="152">
        <f t="shared" si="318"/>
        <v>566.1</v>
      </c>
      <c r="L1022" s="153"/>
      <c r="M1022" s="139"/>
      <c r="N1022" s="139"/>
      <c r="O1022" s="139"/>
      <c r="P1022" s="37">
        <f t="shared" si="319"/>
        <v>84.6688</v>
      </c>
      <c r="Q1022" s="71"/>
      <c r="R1022" s="157">
        <v>0.01</v>
      </c>
      <c r="S1022" s="71">
        <v>55</v>
      </c>
      <c r="T1022" s="71">
        <v>29.6688</v>
      </c>
      <c r="U1022" s="71"/>
      <c r="V1022" s="37">
        <f t="shared" si="320"/>
        <v>514.6169664</v>
      </c>
      <c r="W1022" s="139"/>
      <c r="X1022" s="139"/>
      <c r="Y1022" s="139"/>
      <c r="Z1022" s="139"/>
      <c r="AA1022" s="139"/>
      <c r="AB1022" s="139"/>
      <c r="AC1022" s="139"/>
      <c r="AD1022" s="139"/>
      <c r="AE1022" s="139"/>
      <c r="AF1022" s="140"/>
      <c r="AG1022" s="140"/>
      <c r="AH1022" s="140"/>
      <c r="AI1022" s="140"/>
      <c r="AJ1022" s="140"/>
      <c r="AK1022" s="140"/>
      <c r="AL1022" s="140"/>
      <c r="AM1022" s="140"/>
      <c r="AN1022" s="140"/>
      <c r="AO1022" s="140"/>
      <c r="AP1022" s="140"/>
      <c r="AQ1022" s="140"/>
      <c r="AR1022" s="140"/>
      <c r="AS1022" s="140"/>
      <c r="AT1022" s="140"/>
      <c r="AU1022" s="140"/>
      <c r="AV1022" s="140"/>
      <c r="AW1022" s="140"/>
      <c r="AX1022" s="140"/>
      <c r="AY1022" s="140"/>
      <c r="AZ1022" s="140"/>
      <c r="BA1022" s="140"/>
      <c r="BB1022" s="140"/>
      <c r="BC1022" s="140"/>
      <c r="BD1022" s="140"/>
      <c r="BE1022" s="140"/>
    </row>
    <row r="1023" s="119" customFormat="1" ht="72" customHeight="1" outlineLevel="2" spans="1:57">
      <c r="A1023" s="162">
        <f t="shared" si="315"/>
        <v>8</v>
      </c>
      <c r="B1023" s="14" t="s">
        <v>110</v>
      </c>
      <c r="C1023" s="15" t="s">
        <v>111</v>
      </c>
      <c r="D1023" s="142" t="s">
        <v>63</v>
      </c>
      <c r="E1023" s="143">
        <f>67.506+22.214+E1022*(0.12+0.2)</f>
        <v>91.66496</v>
      </c>
      <c r="F1023" s="143">
        <f>$F$32</f>
        <v>45</v>
      </c>
      <c r="G1023" s="143">
        <f>$G$32</f>
        <v>85.5</v>
      </c>
      <c r="H1023" s="143">
        <f>$H$32</f>
        <v>7.3</v>
      </c>
      <c r="I1023" s="17">
        <f t="shared" si="316"/>
        <v>13.78</v>
      </c>
      <c r="J1023" s="18">
        <f t="shared" si="317"/>
        <v>151.58</v>
      </c>
      <c r="K1023" s="19">
        <f t="shared" si="318"/>
        <v>13894.57</v>
      </c>
      <c r="L1023" s="135"/>
      <c r="M1023" s="139"/>
      <c r="N1023" s="139"/>
      <c r="O1023" s="139"/>
      <c r="P1023" s="37">
        <f t="shared" si="319"/>
        <v>137.8</v>
      </c>
      <c r="Q1023" s="99">
        <f>$Q$32</f>
        <v>85.5</v>
      </c>
      <c r="R1023" s="163">
        <f>$R$32</f>
        <v>0</v>
      </c>
      <c r="S1023" s="99">
        <f>$S$32</f>
        <v>45</v>
      </c>
      <c r="T1023" s="99">
        <f>$T$32</f>
        <v>6.5</v>
      </c>
      <c r="U1023" s="99">
        <f>$U$32</f>
        <v>0.8</v>
      </c>
      <c r="V1023" s="37">
        <f t="shared" si="320"/>
        <v>12631.431488</v>
      </c>
      <c r="W1023" s="139"/>
      <c r="X1023" s="139"/>
      <c r="Y1023" s="139"/>
      <c r="Z1023" s="139"/>
      <c r="AA1023" s="139"/>
      <c r="AB1023" s="139"/>
      <c r="AC1023" s="139"/>
      <c r="AD1023" s="139"/>
      <c r="AE1023" s="139"/>
      <c r="AF1023" s="140"/>
      <c r="AG1023" s="140"/>
      <c r="AH1023" s="140"/>
      <c r="AI1023" s="140"/>
      <c r="AJ1023" s="140"/>
      <c r="AK1023" s="140"/>
      <c r="AL1023" s="140"/>
      <c r="AM1023" s="140"/>
      <c r="AN1023" s="140"/>
      <c r="AO1023" s="140"/>
      <c r="AP1023" s="140"/>
      <c r="AQ1023" s="140"/>
      <c r="AR1023" s="140"/>
      <c r="AS1023" s="140"/>
      <c r="AT1023" s="140"/>
      <c r="AU1023" s="140"/>
      <c r="AV1023" s="140"/>
      <c r="AW1023" s="140"/>
      <c r="AX1023" s="140"/>
      <c r="AY1023" s="140"/>
      <c r="AZ1023" s="140"/>
      <c r="BA1023" s="140"/>
      <c r="BB1023" s="140"/>
      <c r="BC1023" s="140"/>
      <c r="BD1023" s="140"/>
      <c r="BE1023" s="140"/>
    </row>
    <row r="1024" s="119" customFormat="1" ht="72" customHeight="1" outlineLevel="2" spans="1:57">
      <c r="A1024" s="162">
        <f t="shared" si="315"/>
        <v>9</v>
      </c>
      <c r="B1024" s="14" t="s">
        <v>270</v>
      </c>
      <c r="C1024" s="15" t="s">
        <v>271</v>
      </c>
      <c r="D1024" s="142" t="s">
        <v>63</v>
      </c>
      <c r="E1024" s="143">
        <v>22.214</v>
      </c>
      <c r="F1024" s="143">
        <f>$F$475</f>
        <v>12</v>
      </c>
      <c r="G1024" s="143">
        <f>$G$475</f>
        <v>5.5</v>
      </c>
      <c r="H1024" s="143">
        <f>$H$475</f>
        <v>4.2682</v>
      </c>
      <c r="I1024" s="17">
        <f t="shared" si="316"/>
        <v>2.17682</v>
      </c>
      <c r="J1024" s="18">
        <f t="shared" si="317"/>
        <v>23.95</v>
      </c>
      <c r="K1024" s="19">
        <f t="shared" si="318"/>
        <v>532.03</v>
      </c>
      <c r="L1024" s="135"/>
      <c r="M1024" s="139"/>
      <c r="N1024" s="139"/>
      <c r="O1024" s="139"/>
      <c r="P1024" s="37">
        <f t="shared" si="319"/>
        <v>21.7682</v>
      </c>
      <c r="Q1024" s="99">
        <f>$Q$475</f>
        <v>5.5</v>
      </c>
      <c r="R1024" s="163">
        <f>$R$475</f>
        <v>0</v>
      </c>
      <c r="S1024" s="99">
        <f>$S$475</f>
        <v>12</v>
      </c>
      <c r="T1024" s="99">
        <f>$T$475</f>
        <v>3.9682</v>
      </c>
      <c r="U1024" s="99">
        <f>$U$475</f>
        <v>0.3</v>
      </c>
      <c r="V1024" s="37">
        <f t="shared" si="320"/>
        <v>483.5587948</v>
      </c>
      <c r="W1024" s="139"/>
      <c r="X1024" s="139"/>
      <c r="Y1024" s="139"/>
      <c r="Z1024" s="139"/>
      <c r="AA1024" s="139"/>
      <c r="AB1024" s="139"/>
      <c r="AC1024" s="139"/>
      <c r="AD1024" s="139"/>
      <c r="AE1024" s="139"/>
      <c r="AF1024" s="140"/>
      <c r="AG1024" s="140"/>
      <c r="AH1024" s="140"/>
      <c r="AI1024" s="140"/>
      <c r="AJ1024" s="140"/>
      <c r="AK1024" s="140"/>
      <c r="AL1024" s="140"/>
      <c r="AM1024" s="140"/>
      <c r="AN1024" s="140"/>
      <c r="AO1024" s="140"/>
      <c r="AP1024" s="140"/>
      <c r="AQ1024" s="140"/>
      <c r="AR1024" s="140"/>
      <c r="AS1024" s="140"/>
      <c r="AT1024" s="140"/>
      <c r="AU1024" s="140"/>
      <c r="AV1024" s="140"/>
      <c r="AW1024" s="140"/>
      <c r="AX1024" s="140"/>
      <c r="AY1024" s="140"/>
      <c r="AZ1024" s="140"/>
      <c r="BA1024" s="140"/>
      <c r="BB1024" s="140"/>
      <c r="BC1024" s="140"/>
      <c r="BD1024" s="140"/>
      <c r="BE1024" s="140"/>
    </row>
    <row r="1025" s="119" customFormat="1" ht="24" customHeight="1" outlineLevel="1" spans="1:57">
      <c r="A1025" s="141"/>
      <c r="B1025" s="14" t="s">
        <v>112</v>
      </c>
      <c r="C1025" s="15"/>
      <c r="D1025" s="142"/>
      <c r="E1025" s="143"/>
      <c r="F1025" s="143"/>
      <c r="G1025" s="143"/>
      <c r="H1025" s="143"/>
      <c r="I1025" s="143"/>
      <c r="J1025" s="143"/>
      <c r="K1025" s="144"/>
      <c r="L1025" s="135"/>
      <c r="M1025" s="139"/>
      <c r="N1025" s="139"/>
      <c r="O1025" s="139"/>
      <c r="P1025" s="137"/>
      <c r="Q1025" s="137"/>
      <c r="R1025" s="138"/>
      <c r="S1025" s="137"/>
      <c r="T1025" s="137"/>
      <c r="U1025" s="137"/>
      <c r="V1025" s="137"/>
      <c r="W1025" s="139"/>
      <c r="X1025" s="139"/>
      <c r="Y1025" s="139"/>
      <c r="Z1025" s="139"/>
      <c r="AA1025" s="139"/>
      <c r="AB1025" s="139"/>
      <c r="AC1025" s="139"/>
      <c r="AD1025" s="139"/>
      <c r="AE1025" s="139"/>
      <c r="AF1025" s="140"/>
      <c r="AG1025" s="140"/>
      <c r="AH1025" s="140"/>
      <c r="AI1025" s="140"/>
      <c r="AJ1025" s="140"/>
      <c r="AK1025" s="140"/>
      <c r="AL1025" s="140"/>
      <c r="AM1025" s="140"/>
      <c r="AN1025" s="140"/>
      <c r="AO1025" s="140"/>
      <c r="AP1025" s="140"/>
      <c r="AQ1025" s="140"/>
      <c r="AR1025" s="140"/>
      <c r="AS1025" s="140"/>
      <c r="AT1025" s="140"/>
      <c r="AU1025" s="140"/>
      <c r="AV1025" s="140"/>
      <c r="AW1025" s="140"/>
      <c r="AX1025" s="140"/>
      <c r="AY1025" s="140"/>
      <c r="AZ1025" s="140"/>
      <c r="BA1025" s="140"/>
      <c r="BB1025" s="140"/>
      <c r="BC1025" s="140"/>
      <c r="BD1025" s="140"/>
      <c r="BE1025" s="140"/>
    </row>
    <row r="1026" s="119" customFormat="1" ht="60" customHeight="1" outlineLevel="2" spans="1:57">
      <c r="A1026" s="162">
        <f t="shared" ref="A1026:A1031" si="321">1+N(A1025)</f>
        <v>1</v>
      </c>
      <c r="B1026" s="14" t="s">
        <v>468</v>
      </c>
      <c r="C1026" s="15" t="s">
        <v>469</v>
      </c>
      <c r="D1026" s="142" t="s">
        <v>63</v>
      </c>
      <c r="E1026" s="143">
        <f>0.85*3</f>
        <v>2.55</v>
      </c>
      <c r="F1026" s="143">
        <f>$F$991</f>
        <v>145</v>
      </c>
      <c r="G1026" s="143">
        <f>$G$991</f>
        <v>1250</v>
      </c>
      <c r="H1026" s="143">
        <f>$H$991</f>
        <v>28.5</v>
      </c>
      <c r="I1026" s="17">
        <f t="shared" ref="I1026:I1031" si="322">(F1026+G1026+H1026)*$I$3</f>
        <v>142.35</v>
      </c>
      <c r="J1026" s="18">
        <f t="shared" ref="J1026:J1031" si="323">ROUND(SUM(F1026:I1026),2)</f>
        <v>1565.85</v>
      </c>
      <c r="K1026" s="19">
        <f t="shared" ref="K1026:K1031" si="324">ROUND(J1026*E1026,2)</f>
        <v>3992.92</v>
      </c>
      <c r="L1026" s="135"/>
      <c r="M1026" s="139"/>
      <c r="N1026" s="139"/>
      <c r="O1026" s="139"/>
      <c r="P1026" s="37">
        <f t="shared" ref="P1026:P1031" si="325">Q1026+Q1026*R1026+S1026+T1026+U1026</f>
        <v>1423.5</v>
      </c>
      <c r="Q1026" s="99">
        <f>$Q$991</f>
        <v>1250</v>
      </c>
      <c r="R1026" s="163">
        <f>$R$991</f>
        <v>0</v>
      </c>
      <c r="S1026" s="99">
        <f>$S$991</f>
        <v>145</v>
      </c>
      <c r="T1026" s="99">
        <f>$T$991</f>
        <v>27</v>
      </c>
      <c r="U1026" s="99">
        <f>$U$991</f>
        <v>1.5</v>
      </c>
      <c r="V1026" s="37">
        <f t="shared" ref="V1026:V1031" si="326">P1026*E1026</f>
        <v>3629.925</v>
      </c>
      <c r="W1026" s="139"/>
      <c r="X1026" s="139"/>
      <c r="Y1026" s="139"/>
      <c r="Z1026" s="139"/>
      <c r="AA1026" s="139"/>
      <c r="AB1026" s="139"/>
      <c r="AC1026" s="139"/>
      <c r="AD1026" s="139"/>
      <c r="AE1026" s="139"/>
      <c r="AF1026" s="140"/>
      <c r="AG1026" s="140"/>
      <c r="AH1026" s="140"/>
      <c r="AI1026" s="140"/>
      <c r="AJ1026" s="140"/>
      <c r="AK1026" s="140"/>
      <c r="AL1026" s="140"/>
      <c r="AM1026" s="140"/>
      <c r="AN1026" s="140"/>
      <c r="AO1026" s="140"/>
      <c r="AP1026" s="140"/>
      <c r="AQ1026" s="140"/>
      <c r="AR1026" s="140"/>
      <c r="AS1026" s="140"/>
      <c r="AT1026" s="140"/>
      <c r="AU1026" s="140"/>
      <c r="AV1026" s="140"/>
      <c r="AW1026" s="140"/>
      <c r="AX1026" s="140"/>
      <c r="AY1026" s="140"/>
      <c r="AZ1026" s="140"/>
      <c r="BA1026" s="140"/>
      <c r="BB1026" s="140"/>
      <c r="BC1026" s="140"/>
      <c r="BD1026" s="140"/>
      <c r="BE1026" s="140"/>
    </row>
    <row r="1027" s="119" customFormat="1" ht="36" customHeight="1" outlineLevel="2" spans="1:57">
      <c r="A1027" s="162">
        <f t="shared" si="321"/>
        <v>2</v>
      </c>
      <c r="B1027" s="14" t="s">
        <v>126</v>
      </c>
      <c r="C1027" s="15" t="s">
        <v>114</v>
      </c>
      <c r="D1027" s="142" t="s">
        <v>63</v>
      </c>
      <c r="E1027" s="143">
        <f>0.8*3.4*2</f>
        <v>5.44</v>
      </c>
      <c r="F1027" s="143">
        <f>$F$60</f>
        <v>165</v>
      </c>
      <c r="G1027" s="143">
        <f>$G$60</f>
        <v>85</v>
      </c>
      <c r="H1027" s="143">
        <f>$H$60</f>
        <v>355.1744</v>
      </c>
      <c r="I1027" s="17">
        <f t="shared" si="322"/>
        <v>60.51744</v>
      </c>
      <c r="J1027" s="18">
        <f t="shared" si="323"/>
        <v>665.69</v>
      </c>
      <c r="K1027" s="19">
        <f t="shared" si="324"/>
        <v>3621.35</v>
      </c>
      <c r="L1027" s="135"/>
      <c r="M1027" s="139"/>
      <c r="N1027" s="139"/>
      <c r="O1027" s="139"/>
      <c r="P1027" s="37">
        <f t="shared" si="325"/>
        <v>605.1744</v>
      </c>
      <c r="Q1027" s="99">
        <f>$Q$60</f>
        <v>85</v>
      </c>
      <c r="R1027" s="163">
        <f>$R$60</f>
        <v>0</v>
      </c>
      <c r="S1027" s="99">
        <f>$S$60</f>
        <v>165</v>
      </c>
      <c r="T1027" s="99">
        <f>$T$60</f>
        <v>353.6744</v>
      </c>
      <c r="U1027" s="99">
        <f>$U$60</f>
        <v>1.5</v>
      </c>
      <c r="V1027" s="37">
        <f t="shared" si="326"/>
        <v>3292.148736</v>
      </c>
      <c r="W1027" s="139"/>
      <c r="X1027" s="139"/>
      <c r="Y1027" s="139"/>
      <c r="Z1027" s="139"/>
      <c r="AA1027" s="139"/>
      <c r="AB1027" s="139"/>
      <c r="AC1027" s="139"/>
      <c r="AD1027" s="139"/>
      <c r="AE1027" s="139"/>
      <c r="AF1027" s="140"/>
      <c r="AG1027" s="140"/>
      <c r="AH1027" s="140"/>
      <c r="AI1027" s="140"/>
      <c r="AJ1027" s="140"/>
      <c r="AK1027" s="140"/>
      <c r="AL1027" s="140"/>
      <c r="AM1027" s="140"/>
      <c r="AN1027" s="140"/>
      <c r="AO1027" s="140"/>
      <c r="AP1027" s="140"/>
      <c r="AQ1027" s="140"/>
      <c r="AR1027" s="140"/>
      <c r="AS1027" s="140"/>
      <c r="AT1027" s="140"/>
      <c r="AU1027" s="140"/>
      <c r="AV1027" s="140"/>
      <c r="AW1027" s="140"/>
      <c r="AX1027" s="140"/>
      <c r="AY1027" s="140"/>
      <c r="AZ1027" s="140"/>
      <c r="BA1027" s="140"/>
      <c r="BB1027" s="140"/>
      <c r="BC1027" s="140"/>
      <c r="BD1027" s="140"/>
      <c r="BE1027" s="140"/>
    </row>
    <row r="1028" s="119" customFormat="1" ht="48" customHeight="1" outlineLevel="2" spans="1:57">
      <c r="A1028" s="145">
        <f t="shared" si="321"/>
        <v>3</v>
      </c>
      <c r="B1028" s="146" t="s">
        <v>486</v>
      </c>
      <c r="C1028" s="147" t="s">
        <v>487</v>
      </c>
      <c r="D1028" s="148" t="s">
        <v>63</v>
      </c>
      <c r="E1028" s="149">
        <f>0.8*3.4*3</f>
        <v>8.16</v>
      </c>
      <c r="F1028" s="149">
        <f>S1028*$S$1</f>
        <v>55</v>
      </c>
      <c r="G1028" s="149">
        <f>Q1028*(1+R1028)*$Q$1</f>
        <v>2325</v>
      </c>
      <c r="H1028" s="149">
        <f>(T1028+U1028)*$T$1</f>
        <v>16.5</v>
      </c>
      <c r="I1028" s="150">
        <f t="shared" si="322"/>
        <v>239.65</v>
      </c>
      <c r="J1028" s="151">
        <f t="shared" si="323"/>
        <v>2636.15</v>
      </c>
      <c r="K1028" s="152">
        <f t="shared" si="324"/>
        <v>21510.98</v>
      </c>
      <c r="L1028" s="153"/>
      <c r="M1028" s="139"/>
      <c r="N1028" s="139"/>
      <c r="O1028" s="139"/>
      <c r="P1028" s="37">
        <f t="shared" si="325"/>
        <v>2396.5</v>
      </c>
      <c r="Q1028" s="71">
        <v>2325</v>
      </c>
      <c r="R1028" s="157">
        <v>0</v>
      </c>
      <c r="S1028" s="71">
        <v>55</v>
      </c>
      <c r="T1028" s="71">
        <v>15</v>
      </c>
      <c r="U1028" s="71">
        <v>1.5</v>
      </c>
      <c r="V1028" s="37">
        <f t="shared" si="326"/>
        <v>19555.44</v>
      </c>
      <c r="W1028" s="139"/>
      <c r="X1028" s="139"/>
      <c r="Y1028" s="139"/>
      <c r="Z1028" s="139"/>
      <c r="AA1028" s="139"/>
      <c r="AB1028" s="139"/>
      <c r="AC1028" s="139"/>
      <c r="AD1028" s="139"/>
      <c r="AE1028" s="139"/>
      <c r="AF1028" s="140"/>
      <c r="AG1028" s="140"/>
      <c r="AH1028" s="140"/>
      <c r="AI1028" s="140"/>
      <c r="AJ1028" s="140"/>
      <c r="AK1028" s="140"/>
      <c r="AL1028" s="140"/>
      <c r="AM1028" s="140"/>
      <c r="AN1028" s="140"/>
      <c r="AO1028" s="140"/>
      <c r="AP1028" s="140"/>
      <c r="AQ1028" s="140"/>
      <c r="AR1028" s="140"/>
      <c r="AS1028" s="140"/>
      <c r="AT1028" s="140"/>
      <c r="AU1028" s="140"/>
      <c r="AV1028" s="140"/>
      <c r="AW1028" s="140"/>
      <c r="AX1028" s="140"/>
      <c r="AY1028" s="140"/>
      <c r="AZ1028" s="140"/>
      <c r="BA1028" s="140"/>
      <c r="BB1028" s="140"/>
      <c r="BC1028" s="140"/>
      <c r="BD1028" s="140"/>
      <c r="BE1028" s="140"/>
    </row>
    <row r="1029" s="119" customFormat="1" ht="48" customHeight="1" outlineLevel="2" spans="1:57">
      <c r="A1029" s="162">
        <f t="shared" si="321"/>
        <v>4</v>
      </c>
      <c r="B1029" s="14" t="s">
        <v>272</v>
      </c>
      <c r="C1029" s="15" t="s">
        <v>273</v>
      </c>
      <c r="D1029" s="142" t="s">
        <v>63</v>
      </c>
      <c r="E1029" s="143">
        <f>1.81*3.4</f>
        <v>6.154</v>
      </c>
      <c r="F1029" s="143">
        <f>$F$477</f>
        <v>55</v>
      </c>
      <c r="G1029" s="143">
        <f>$G$477</f>
        <v>1415</v>
      </c>
      <c r="H1029" s="143">
        <f>$H$477</f>
        <v>36.5</v>
      </c>
      <c r="I1029" s="17">
        <f t="shared" si="322"/>
        <v>150.65</v>
      </c>
      <c r="J1029" s="18">
        <f t="shared" si="323"/>
        <v>1657.15</v>
      </c>
      <c r="K1029" s="19">
        <f t="shared" si="324"/>
        <v>10198.1</v>
      </c>
      <c r="L1029" s="135"/>
      <c r="M1029" s="139"/>
      <c r="N1029" s="139"/>
      <c r="O1029" s="139"/>
      <c r="P1029" s="37">
        <f t="shared" si="325"/>
        <v>1506.5</v>
      </c>
      <c r="Q1029" s="99">
        <f>$Q$477</f>
        <v>1415</v>
      </c>
      <c r="R1029" s="163">
        <f>$R$477</f>
        <v>0</v>
      </c>
      <c r="S1029" s="99">
        <f>$S$477</f>
        <v>55</v>
      </c>
      <c r="T1029" s="99">
        <f>$T$477</f>
        <v>35</v>
      </c>
      <c r="U1029" s="99">
        <f>$U$477</f>
        <v>1.5</v>
      </c>
      <c r="V1029" s="37">
        <f t="shared" si="326"/>
        <v>9271.001</v>
      </c>
      <c r="W1029" s="139"/>
      <c r="X1029" s="139"/>
      <c r="Y1029" s="139"/>
      <c r="Z1029" s="139"/>
      <c r="AA1029" s="139"/>
      <c r="AB1029" s="139"/>
      <c r="AC1029" s="139"/>
      <c r="AD1029" s="139"/>
      <c r="AE1029" s="139"/>
      <c r="AF1029" s="140"/>
      <c r="AG1029" s="140"/>
      <c r="AH1029" s="140"/>
      <c r="AI1029" s="140"/>
      <c r="AJ1029" s="140"/>
      <c r="AK1029" s="140"/>
      <c r="AL1029" s="140"/>
      <c r="AM1029" s="140"/>
      <c r="AN1029" s="140"/>
      <c r="AO1029" s="140"/>
      <c r="AP1029" s="140"/>
      <c r="AQ1029" s="140"/>
      <c r="AR1029" s="140"/>
      <c r="AS1029" s="140"/>
      <c r="AT1029" s="140"/>
      <c r="AU1029" s="140"/>
      <c r="AV1029" s="140"/>
      <c r="AW1029" s="140"/>
      <c r="AX1029" s="140"/>
      <c r="AY1029" s="140"/>
      <c r="AZ1029" s="140"/>
      <c r="BA1029" s="140"/>
      <c r="BB1029" s="140"/>
      <c r="BC1029" s="140"/>
      <c r="BD1029" s="140"/>
      <c r="BE1029" s="140"/>
    </row>
    <row r="1030" s="119" customFormat="1" ht="60" customHeight="1" outlineLevel="2" spans="1:57">
      <c r="A1030" s="145">
        <f t="shared" si="321"/>
        <v>5</v>
      </c>
      <c r="B1030" s="146" t="s">
        <v>422</v>
      </c>
      <c r="C1030" s="147" t="s">
        <v>488</v>
      </c>
      <c r="D1030" s="148" t="s">
        <v>70</v>
      </c>
      <c r="E1030" s="149">
        <v>2.16</v>
      </c>
      <c r="F1030" s="149">
        <f>S1030*$S$1</f>
        <v>85</v>
      </c>
      <c r="G1030" s="149">
        <f>Q1030*(1+R1030)*$Q$1</f>
        <v>1900</v>
      </c>
      <c r="H1030" s="149">
        <f>(T1030+U1030)*$T$1</f>
        <v>16.5</v>
      </c>
      <c r="I1030" s="150">
        <f t="shared" si="322"/>
        <v>200.15</v>
      </c>
      <c r="J1030" s="151">
        <f t="shared" si="323"/>
        <v>2201.65</v>
      </c>
      <c r="K1030" s="152">
        <f t="shared" si="324"/>
        <v>4755.56</v>
      </c>
      <c r="L1030" s="153"/>
      <c r="M1030" s="139"/>
      <c r="N1030" s="139"/>
      <c r="O1030" s="139"/>
      <c r="P1030" s="37">
        <f t="shared" si="325"/>
        <v>2001.5</v>
      </c>
      <c r="Q1030" s="71">
        <f>1550+350</f>
        <v>1900</v>
      </c>
      <c r="R1030" s="157">
        <v>0</v>
      </c>
      <c r="S1030" s="71">
        <v>85</v>
      </c>
      <c r="T1030" s="71">
        <v>15</v>
      </c>
      <c r="U1030" s="71">
        <v>1.5</v>
      </c>
      <c r="V1030" s="37">
        <f t="shared" si="326"/>
        <v>4323.24</v>
      </c>
      <c r="W1030" s="139"/>
      <c r="X1030" s="139"/>
      <c r="Y1030" s="139"/>
      <c r="Z1030" s="139"/>
      <c r="AA1030" s="139"/>
      <c r="AB1030" s="139"/>
      <c r="AC1030" s="139"/>
      <c r="AD1030" s="139"/>
      <c r="AE1030" s="139"/>
      <c r="AF1030" s="140"/>
      <c r="AG1030" s="140"/>
      <c r="AH1030" s="140"/>
      <c r="AI1030" s="140"/>
      <c r="AJ1030" s="140"/>
      <c r="AK1030" s="140"/>
      <c r="AL1030" s="140"/>
      <c r="AM1030" s="140"/>
      <c r="AN1030" s="140"/>
      <c r="AO1030" s="140"/>
      <c r="AP1030" s="140"/>
      <c r="AQ1030" s="140"/>
      <c r="AR1030" s="140"/>
      <c r="AS1030" s="140"/>
      <c r="AT1030" s="140"/>
      <c r="AU1030" s="140"/>
      <c r="AV1030" s="140"/>
      <c r="AW1030" s="140"/>
      <c r="AX1030" s="140"/>
      <c r="AY1030" s="140"/>
      <c r="AZ1030" s="140"/>
      <c r="BA1030" s="140"/>
      <c r="BB1030" s="140"/>
      <c r="BC1030" s="140"/>
      <c r="BD1030" s="140"/>
      <c r="BE1030" s="140"/>
    </row>
    <row r="1031" s="119" customFormat="1" ht="48" customHeight="1" outlineLevel="2" spans="1:57">
      <c r="A1031" s="145">
        <f t="shared" si="321"/>
        <v>6</v>
      </c>
      <c r="B1031" s="146" t="s">
        <v>489</v>
      </c>
      <c r="C1031" s="147" t="s">
        <v>490</v>
      </c>
      <c r="D1031" s="148" t="s">
        <v>63</v>
      </c>
      <c r="E1031" s="149">
        <f>0.94*2.6</f>
        <v>2.444</v>
      </c>
      <c r="F1031" s="149">
        <f>S1031*$S$1</f>
        <v>35</v>
      </c>
      <c r="G1031" s="149">
        <f>Q1031*(1+R1031)*$Q$1</f>
        <v>2100</v>
      </c>
      <c r="H1031" s="149">
        <f>(T1031+U1031)*$T$1</f>
        <v>52.5</v>
      </c>
      <c r="I1031" s="150">
        <f t="shared" si="322"/>
        <v>218.75</v>
      </c>
      <c r="J1031" s="151">
        <f t="shared" si="323"/>
        <v>2406.25</v>
      </c>
      <c r="K1031" s="152">
        <f t="shared" si="324"/>
        <v>5880.88</v>
      </c>
      <c r="L1031" s="153"/>
      <c r="M1031" s="139"/>
      <c r="N1031" s="139"/>
      <c r="O1031" s="139"/>
      <c r="P1031" s="37">
        <f t="shared" si="325"/>
        <v>2187.5</v>
      </c>
      <c r="Q1031" s="71">
        <v>2100</v>
      </c>
      <c r="R1031" s="157">
        <v>0</v>
      </c>
      <c r="S1031" s="71">
        <v>35</v>
      </c>
      <c r="T1031" s="71">
        <v>51</v>
      </c>
      <c r="U1031" s="71">
        <v>1.5</v>
      </c>
      <c r="V1031" s="37">
        <f t="shared" si="326"/>
        <v>5346.25</v>
      </c>
      <c r="W1031" s="139"/>
      <c r="X1031" s="139"/>
      <c r="Y1031" s="139"/>
      <c r="Z1031" s="139"/>
      <c r="AA1031" s="139"/>
      <c r="AB1031" s="139"/>
      <c r="AC1031" s="139"/>
      <c r="AD1031" s="139"/>
      <c r="AE1031" s="139"/>
      <c r="AF1031" s="140"/>
      <c r="AG1031" s="140"/>
      <c r="AH1031" s="140"/>
      <c r="AI1031" s="140"/>
      <c r="AJ1031" s="140"/>
      <c r="AK1031" s="140"/>
      <c r="AL1031" s="140"/>
      <c r="AM1031" s="140"/>
      <c r="AN1031" s="140"/>
      <c r="AO1031" s="140"/>
      <c r="AP1031" s="140"/>
      <c r="AQ1031" s="140"/>
      <c r="AR1031" s="140"/>
      <c r="AS1031" s="140"/>
      <c r="AT1031" s="140"/>
      <c r="AU1031" s="140"/>
      <c r="AV1031" s="140"/>
      <c r="AW1031" s="140"/>
      <c r="AX1031" s="140"/>
      <c r="AY1031" s="140"/>
      <c r="AZ1031" s="140"/>
      <c r="BA1031" s="140"/>
      <c r="BB1031" s="140"/>
      <c r="BC1031" s="140"/>
      <c r="BD1031" s="140"/>
      <c r="BE1031" s="140"/>
    </row>
    <row r="1032" s="119" customFormat="1" ht="24" customHeight="1" outlineLevel="1" spans="1:57">
      <c r="A1032" s="132" t="s">
        <v>149</v>
      </c>
      <c r="B1032" s="8" t="s">
        <v>160</v>
      </c>
      <c r="C1032" s="8"/>
      <c r="D1032" s="133"/>
      <c r="E1032" s="134"/>
      <c r="F1032" s="134"/>
      <c r="G1032" s="134"/>
      <c r="H1032" s="134"/>
      <c r="I1032" s="134"/>
      <c r="J1032" s="134"/>
      <c r="K1032" s="11"/>
      <c r="L1032" s="135"/>
      <c r="M1032" s="139"/>
      <c r="N1032" s="139"/>
      <c r="O1032" s="139"/>
      <c r="P1032" s="137"/>
      <c r="Q1032" s="137"/>
      <c r="R1032" s="138"/>
      <c r="S1032" s="137"/>
      <c r="T1032" s="137"/>
      <c r="U1032" s="137"/>
      <c r="V1032" s="137"/>
      <c r="W1032" s="139"/>
      <c r="X1032" s="139"/>
      <c r="Y1032" s="139"/>
      <c r="Z1032" s="139"/>
      <c r="AA1032" s="139"/>
      <c r="AB1032" s="139"/>
      <c r="AC1032" s="139"/>
      <c r="AD1032" s="139"/>
      <c r="AE1032" s="139"/>
      <c r="AF1032" s="140"/>
      <c r="AG1032" s="140"/>
      <c r="AH1032" s="140"/>
      <c r="AI1032" s="140"/>
      <c r="AJ1032" s="140"/>
      <c r="AK1032" s="140"/>
      <c r="AL1032" s="140"/>
      <c r="AM1032" s="140"/>
      <c r="AN1032" s="140"/>
      <c r="AO1032" s="140"/>
      <c r="AP1032" s="140"/>
      <c r="AQ1032" s="140"/>
      <c r="AR1032" s="140"/>
      <c r="AS1032" s="140"/>
      <c r="AT1032" s="140"/>
      <c r="AU1032" s="140"/>
      <c r="AV1032" s="140"/>
      <c r="AW1032" s="140"/>
      <c r="AX1032" s="140"/>
      <c r="AY1032" s="140"/>
      <c r="AZ1032" s="140"/>
      <c r="BA1032" s="140"/>
      <c r="BB1032" s="140"/>
      <c r="BC1032" s="140"/>
      <c r="BD1032" s="140"/>
      <c r="BE1032" s="140"/>
    </row>
    <row r="1033" s="119" customFormat="1" ht="24" customHeight="1" outlineLevel="1" spans="1:57">
      <c r="A1033" s="141"/>
      <c r="B1033" s="165" t="s">
        <v>161</v>
      </c>
      <c r="C1033" s="15"/>
      <c r="D1033" s="142"/>
      <c r="E1033" s="143"/>
      <c r="F1033" s="143"/>
      <c r="G1033" s="143"/>
      <c r="H1033" s="143"/>
      <c r="I1033" s="143"/>
      <c r="J1033" s="143"/>
      <c r="K1033" s="144"/>
      <c r="L1033" s="135"/>
      <c r="M1033" s="139"/>
      <c r="N1033" s="139"/>
      <c r="O1033" s="139"/>
      <c r="P1033" s="137"/>
      <c r="Q1033" s="137"/>
      <c r="R1033" s="138"/>
      <c r="S1033" s="137"/>
      <c r="T1033" s="137"/>
      <c r="U1033" s="137"/>
      <c r="V1033" s="137"/>
      <c r="W1033" s="139"/>
      <c r="X1033" s="139"/>
      <c r="Y1033" s="139"/>
      <c r="Z1033" s="139"/>
      <c r="AA1033" s="139"/>
      <c r="AB1033" s="139"/>
      <c r="AC1033" s="139"/>
      <c r="AD1033" s="139"/>
      <c r="AE1033" s="139"/>
      <c r="AF1033" s="140"/>
      <c r="AG1033" s="140"/>
      <c r="AH1033" s="140"/>
      <c r="AI1033" s="140"/>
      <c r="AJ1033" s="140"/>
      <c r="AK1033" s="140"/>
      <c r="AL1033" s="140"/>
      <c r="AM1033" s="140"/>
      <c r="AN1033" s="140"/>
      <c r="AO1033" s="140"/>
      <c r="AP1033" s="140"/>
      <c r="AQ1033" s="140"/>
      <c r="AR1033" s="140"/>
      <c r="AS1033" s="140"/>
      <c r="AT1033" s="140"/>
      <c r="AU1033" s="140"/>
      <c r="AV1033" s="140"/>
      <c r="AW1033" s="140"/>
      <c r="AX1033" s="140"/>
      <c r="AY1033" s="140"/>
      <c r="AZ1033" s="140"/>
      <c r="BA1033" s="140"/>
      <c r="BB1033" s="140"/>
      <c r="BC1033" s="140"/>
      <c r="BD1033" s="140"/>
      <c r="BE1033" s="140"/>
    </row>
    <row r="1034" s="119" customFormat="1" ht="60" customHeight="1" outlineLevel="2" spans="1:57">
      <c r="A1034" s="162">
        <f>1+N(A1033)</f>
        <v>1</v>
      </c>
      <c r="B1034" s="165" t="s">
        <v>212</v>
      </c>
      <c r="C1034" s="166" t="s">
        <v>213</v>
      </c>
      <c r="D1034" s="142" t="s">
        <v>214</v>
      </c>
      <c r="E1034" s="143">
        <f>2.53*5.67-0.9*3.1*0.2-0.9*3.1*0.1*2</f>
        <v>13.2291</v>
      </c>
      <c r="F1034" s="143">
        <f>$F$333</f>
        <v>275</v>
      </c>
      <c r="G1034" s="143">
        <f>$G$333</f>
        <v>429.25</v>
      </c>
      <c r="H1034" s="143">
        <f>$H$333</f>
        <v>102.5</v>
      </c>
      <c r="I1034" s="17">
        <f>(F1034+G1034+H1034)*$I$3</f>
        <v>80.675</v>
      </c>
      <c r="J1034" s="18">
        <f>ROUND(SUM(F1034:I1034),2)</f>
        <v>887.43</v>
      </c>
      <c r="K1034" s="19">
        <f>ROUND(J1034*E1034,2)</f>
        <v>11739.9</v>
      </c>
      <c r="L1034" s="135"/>
      <c r="M1034" s="139"/>
      <c r="N1034" s="139"/>
      <c r="O1034" s="139"/>
      <c r="P1034" s="37">
        <f>Q1034+Q1034*R1034+S1034+T1034+U1034</f>
        <v>806.75</v>
      </c>
      <c r="Q1034" s="99">
        <f>$Q$333</f>
        <v>425</v>
      </c>
      <c r="R1034" s="163">
        <f>$R$333</f>
        <v>0.01</v>
      </c>
      <c r="S1034" s="99">
        <f>$S$333</f>
        <v>275</v>
      </c>
      <c r="T1034" s="99">
        <f>$T$333</f>
        <v>90</v>
      </c>
      <c r="U1034" s="99">
        <f>$U$333</f>
        <v>12.5</v>
      </c>
      <c r="V1034" s="37">
        <f>P1034*E1034</f>
        <v>10672.576425</v>
      </c>
      <c r="W1034" s="139"/>
      <c r="X1034" s="139"/>
      <c r="Y1034" s="139"/>
      <c r="Z1034" s="139"/>
      <c r="AA1034" s="139"/>
      <c r="AB1034" s="139"/>
      <c r="AC1034" s="139"/>
      <c r="AD1034" s="139"/>
      <c r="AE1034" s="139"/>
      <c r="AF1034" s="140"/>
      <c r="AG1034" s="140"/>
      <c r="AH1034" s="140"/>
      <c r="AI1034" s="140"/>
      <c r="AJ1034" s="140"/>
      <c r="AK1034" s="140"/>
      <c r="AL1034" s="140"/>
      <c r="AM1034" s="140"/>
      <c r="AN1034" s="140"/>
      <c r="AO1034" s="140"/>
      <c r="AP1034" s="140"/>
      <c r="AQ1034" s="140"/>
      <c r="AR1034" s="140"/>
      <c r="AS1034" s="140"/>
      <c r="AT1034" s="140"/>
      <c r="AU1034" s="140"/>
      <c r="AV1034" s="140"/>
      <c r="AW1034" s="140"/>
      <c r="AX1034" s="140"/>
      <c r="AY1034" s="140"/>
      <c r="AZ1034" s="140"/>
      <c r="BA1034" s="140"/>
      <c r="BB1034" s="140"/>
      <c r="BC1034" s="140"/>
      <c r="BD1034" s="140"/>
      <c r="BE1034" s="140"/>
    </row>
    <row r="1035" s="119" customFormat="1" ht="33.75" customHeight="1" outlineLevel="2" spans="1:57">
      <c r="A1035" s="162">
        <f>1+N(A1034)</f>
        <v>2</v>
      </c>
      <c r="B1035" s="165" t="s">
        <v>215</v>
      </c>
      <c r="C1035" s="183" t="s">
        <v>216</v>
      </c>
      <c r="D1035" s="184" t="s">
        <v>63</v>
      </c>
      <c r="E1035" s="143">
        <f>27.9*5.67-0.9*3.1*5</f>
        <v>144.243</v>
      </c>
      <c r="F1035" s="143">
        <f>$F$334</f>
        <v>22</v>
      </c>
      <c r="G1035" s="143">
        <f>$G$334</f>
        <v>0</v>
      </c>
      <c r="H1035" s="143">
        <f>$H$334</f>
        <v>9</v>
      </c>
      <c r="I1035" s="17">
        <f>(F1035+G1035+H1035)*$I$3</f>
        <v>3.1</v>
      </c>
      <c r="J1035" s="18">
        <f>ROUND(SUM(F1035:I1035),2)</f>
        <v>34.1</v>
      </c>
      <c r="K1035" s="19">
        <f>ROUND(J1035*E1035,2)</f>
        <v>4918.69</v>
      </c>
      <c r="L1035" s="135"/>
      <c r="M1035" s="139"/>
      <c r="N1035" s="139"/>
      <c r="O1035" s="139"/>
      <c r="P1035" s="37">
        <f>Q1035+Q1035*R1035+S1035+T1035+U1035</f>
        <v>31</v>
      </c>
      <c r="Q1035" s="99">
        <f>$Q$334</f>
        <v>0</v>
      </c>
      <c r="R1035" s="163">
        <f>$R$334</f>
        <v>0</v>
      </c>
      <c r="S1035" s="99">
        <f>$S$334</f>
        <v>22</v>
      </c>
      <c r="T1035" s="99">
        <f>$T$334</f>
        <v>8.5</v>
      </c>
      <c r="U1035" s="99">
        <f>$U$334</f>
        <v>0.5</v>
      </c>
      <c r="V1035" s="37">
        <f>P1035*E1035</f>
        <v>4471.533</v>
      </c>
      <c r="W1035" s="139"/>
      <c r="X1035" s="139"/>
      <c r="Y1035" s="139"/>
      <c r="Z1035" s="139"/>
      <c r="AA1035" s="139"/>
      <c r="AB1035" s="139"/>
      <c r="AC1035" s="139"/>
      <c r="AD1035" s="139"/>
      <c r="AE1035" s="139"/>
      <c r="AF1035" s="140"/>
      <c r="AG1035" s="140"/>
      <c r="AH1035" s="140"/>
      <c r="AI1035" s="140"/>
      <c r="AJ1035" s="140"/>
      <c r="AK1035" s="140"/>
      <c r="AL1035" s="140"/>
      <c r="AM1035" s="140"/>
      <c r="AN1035" s="140"/>
      <c r="AO1035" s="140"/>
      <c r="AP1035" s="140"/>
      <c r="AQ1035" s="140"/>
      <c r="AR1035" s="140"/>
      <c r="AS1035" s="140"/>
      <c r="AT1035" s="140"/>
      <c r="AU1035" s="140"/>
      <c r="AV1035" s="140"/>
      <c r="AW1035" s="140"/>
      <c r="AX1035" s="140"/>
      <c r="AY1035" s="140"/>
      <c r="AZ1035" s="140"/>
      <c r="BA1035" s="140"/>
      <c r="BB1035" s="140"/>
      <c r="BC1035" s="140"/>
      <c r="BD1035" s="140"/>
      <c r="BE1035" s="140"/>
    </row>
    <row r="1036" s="119" customFormat="1" ht="72" customHeight="1" outlineLevel="2" spans="1:57">
      <c r="A1036" s="162">
        <f>1+N(A1035)</f>
        <v>3</v>
      </c>
      <c r="B1036" s="165" t="s">
        <v>162</v>
      </c>
      <c r="C1036" s="166" t="s">
        <v>163</v>
      </c>
      <c r="D1036" s="142" t="s">
        <v>63</v>
      </c>
      <c r="E1036" s="143">
        <f>77.202*5.67-3.3*(3.86+5.66+1.58+5.475)*2-1.05*3.1*2-0.9*2.7*2</f>
        <v>316.97034</v>
      </c>
      <c r="F1036" s="143">
        <f>$F$167</f>
        <v>65</v>
      </c>
      <c r="G1036" s="143">
        <f>$G$167</f>
        <v>78.275</v>
      </c>
      <c r="H1036" s="143">
        <f>$H$167</f>
        <v>17</v>
      </c>
      <c r="I1036" s="17">
        <f>(F1036+G1036+H1036)*$I$3</f>
        <v>16.0275</v>
      </c>
      <c r="J1036" s="18">
        <f>ROUND(SUM(F1036:I1036),2)</f>
        <v>176.3</v>
      </c>
      <c r="K1036" s="19">
        <f>ROUND(J1036*E1036,2)</f>
        <v>55881.87</v>
      </c>
      <c r="L1036" s="135"/>
      <c r="M1036" s="139"/>
      <c r="N1036" s="139"/>
      <c r="O1036" s="139"/>
      <c r="P1036" s="37">
        <f>Q1036+Q1036*R1036+S1036+T1036+U1036</f>
        <v>160.275</v>
      </c>
      <c r="Q1036" s="99">
        <f>$Q$167</f>
        <v>77.5</v>
      </c>
      <c r="R1036" s="163">
        <f>$R$167</f>
        <v>0.01</v>
      </c>
      <c r="S1036" s="99">
        <f>$S$167</f>
        <v>65</v>
      </c>
      <c r="T1036" s="99">
        <f>$T$167</f>
        <v>15.5</v>
      </c>
      <c r="U1036" s="99">
        <f>$U$167</f>
        <v>1.5</v>
      </c>
      <c r="V1036" s="37">
        <f>P1036*E1036</f>
        <v>50802.4212435</v>
      </c>
      <c r="W1036" s="139"/>
      <c r="X1036" s="139"/>
      <c r="Y1036" s="139"/>
      <c r="Z1036" s="139"/>
      <c r="AA1036" s="139"/>
      <c r="AB1036" s="139"/>
      <c r="AC1036" s="139"/>
      <c r="AD1036" s="139"/>
      <c r="AE1036" s="139"/>
      <c r="AF1036" s="140"/>
      <c r="AG1036" s="140"/>
      <c r="AH1036" s="140"/>
      <c r="AI1036" s="140"/>
      <c r="AJ1036" s="140"/>
      <c r="AK1036" s="140"/>
      <c r="AL1036" s="140"/>
      <c r="AM1036" s="140"/>
      <c r="AN1036" s="140"/>
      <c r="AO1036" s="140"/>
      <c r="AP1036" s="140"/>
      <c r="AQ1036" s="140"/>
      <c r="AR1036" s="140"/>
      <c r="AS1036" s="140"/>
      <c r="AT1036" s="140"/>
      <c r="AU1036" s="140"/>
      <c r="AV1036" s="140"/>
      <c r="AW1036" s="140"/>
      <c r="AX1036" s="140"/>
      <c r="AY1036" s="140"/>
      <c r="AZ1036" s="140"/>
      <c r="BA1036" s="140"/>
      <c r="BB1036" s="140"/>
      <c r="BC1036" s="140"/>
      <c r="BD1036" s="140"/>
      <c r="BE1036" s="140"/>
    </row>
    <row r="1037" s="119" customFormat="1" ht="72" customHeight="1" outlineLevel="2" spans="1:57">
      <c r="A1037" s="145">
        <f>1+N(A1036)</f>
        <v>4</v>
      </c>
      <c r="B1037" s="159" t="s">
        <v>491</v>
      </c>
      <c r="C1037" s="160" t="s">
        <v>492</v>
      </c>
      <c r="D1037" s="148" t="s">
        <v>63</v>
      </c>
      <c r="E1037" s="149">
        <f>19.844*5.67</f>
        <v>112.51548</v>
      </c>
      <c r="F1037" s="149">
        <f>S1037*$S$1</f>
        <v>105</v>
      </c>
      <c r="G1037" s="149">
        <f>Q1037*(1+R1037)*$Q$1</f>
        <v>128.775</v>
      </c>
      <c r="H1037" s="149">
        <f>(T1037+U1037)*$T$1</f>
        <v>27</v>
      </c>
      <c r="I1037" s="150">
        <f>(F1037+G1037+H1037)*$I$3</f>
        <v>26.0775</v>
      </c>
      <c r="J1037" s="151">
        <f>ROUND(SUM(F1037:I1037),2)</f>
        <v>286.85</v>
      </c>
      <c r="K1037" s="152">
        <f>ROUND(J1037*E1037,2)</f>
        <v>32275.07</v>
      </c>
      <c r="L1037" s="153"/>
      <c r="M1037" s="139"/>
      <c r="N1037" s="139"/>
      <c r="O1037" s="139"/>
      <c r="P1037" s="37">
        <f>Q1037+Q1037*R1037+S1037+T1037+U1037</f>
        <v>260.775</v>
      </c>
      <c r="Q1037" s="169">
        <f>15.5*5+25*2</f>
        <v>127.5</v>
      </c>
      <c r="R1037" s="155">
        <v>0.01</v>
      </c>
      <c r="S1037" s="169">
        <f>65+20*2</f>
        <v>105</v>
      </c>
      <c r="T1037" s="169">
        <f>15.5+10</f>
        <v>25.5</v>
      </c>
      <c r="U1037" s="169">
        <v>1.5</v>
      </c>
      <c r="V1037" s="37">
        <f>P1037*E1037</f>
        <v>29341.224297</v>
      </c>
      <c r="W1037" s="139"/>
      <c r="X1037" s="139"/>
      <c r="Y1037" s="139"/>
      <c r="Z1037" s="139"/>
      <c r="AA1037" s="139"/>
      <c r="AB1037" s="139"/>
      <c r="AC1037" s="139"/>
      <c r="AD1037" s="139"/>
      <c r="AE1037" s="139"/>
      <c r="AF1037" s="140"/>
      <c r="AG1037" s="140"/>
      <c r="AH1037" s="140"/>
      <c r="AI1037" s="140"/>
      <c r="AJ1037" s="140"/>
      <c r="AK1037" s="140"/>
      <c r="AL1037" s="140"/>
      <c r="AM1037" s="140"/>
      <c r="AN1037" s="140"/>
      <c r="AO1037" s="140"/>
      <c r="AP1037" s="140"/>
      <c r="AQ1037" s="140"/>
      <c r="AR1037" s="140"/>
      <c r="AS1037" s="140"/>
      <c r="AT1037" s="140"/>
      <c r="AU1037" s="140"/>
      <c r="AV1037" s="140"/>
      <c r="AW1037" s="140"/>
      <c r="AX1037" s="140"/>
      <c r="AY1037" s="140"/>
      <c r="AZ1037" s="140"/>
      <c r="BA1037" s="140"/>
      <c r="BB1037" s="140"/>
      <c r="BC1037" s="140"/>
      <c r="BD1037" s="140"/>
      <c r="BE1037" s="140"/>
    </row>
    <row r="1038" s="2" customFormat="1" ht="24" customHeight="1" spans="1:57">
      <c r="A1038" s="8"/>
      <c r="B1038" s="8" t="s">
        <v>493</v>
      </c>
      <c r="C1038" s="8"/>
      <c r="D1038" s="8"/>
      <c r="E1038" s="128"/>
      <c r="F1038" s="128"/>
      <c r="G1038" s="128"/>
      <c r="H1038" s="128"/>
      <c r="I1038" s="128"/>
      <c r="J1038" s="128"/>
      <c r="K1038" s="11">
        <f>+K4+K168+K336+K448+K911</f>
        <v>7545230.23</v>
      </c>
      <c r="L1038" s="135"/>
      <c r="M1038" s="130"/>
      <c r="N1038" s="130"/>
      <c r="O1038" s="130"/>
      <c r="P1038" s="128"/>
      <c r="Q1038" s="128"/>
      <c r="R1038" s="129"/>
      <c r="S1038" s="128"/>
      <c r="T1038" s="128"/>
      <c r="U1038" s="128"/>
      <c r="V1038" s="128"/>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c r="AZ1038" s="130"/>
      <c r="BA1038" s="130"/>
      <c r="BB1038" s="130"/>
      <c r="BC1038" s="130"/>
      <c r="BD1038" s="130"/>
      <c r="BE1038" s="130"/>
    </row>
  </sheetData>
  <autoFilter xmlns:etc="http://www.wps.cn/officeDocument/2017/etCustomData" ref="A2:Y1038" etc:filterBottomFollowUsedRange="0">
    <extLst/>
  </autoFilter>
  <mergeCells count="12">
    <mergeCell ref="A1:L1"/>
    <mergeCell ref="A2:A3"/>
    <mergeCell ref="B2:B3"/>
    <mergeCell ref="C2:C3"/>
    <mergeCell ref="D2:D3"/>
    <mergeCell ref="E2:E3"/>
    <mergeCell ref="F2:F3"/>
    <mergeCell ref="G2:G3"/>
    <mergeCell ref="H2:H3"/>
    <mergeCell ref="J2:J3"/>
    <mergeCell ref="K2:K3"/>
    <mergeCell ref="L2:L3"/>
  </mergeCells>
  <conditionalFormatting sqref="B5">
    <cfRule type="duplicateValues" dxfId="0" priority="449"/>
  </conditionalFormatting>
  <conditionalFormatting sqref="C5">
    <cfRule type="duplicateValues" dxfId="0" priority="440"/>
  </conditionalFormatting>
  <conditionalFormatting sqref="B6">
    <cfRule type="duplicateValues" dxfId="0" priority="446"/>
  </conditionalFormatting>
  <conditionalFormatting sqref="B8">
    <cfRule type="duplicateValues" dxfId="0" priority="426"/>
  </conditionalFormatting>
  <conditionalFormatting sqref="B10">
    <cfRule type="duplicateValues" dxfId="0" priority="425"/>
  </conditionalFormatting>
  <conditionalFormatting sqref="B11">
    <cfRule type="duplicateValues" dxfId="0" priority="441"/>
  </conditionalFormatting>
  <conditionalFormatting sqref="B17">
    <cfRule type="duplicateValues" dxfId="0" priority="242"/>
  </conditionalFormatting>
  <conditionalFormatting sqref="B20">
    <cfRule type="duplicateValues" dxfId="0" priority="243"/>
  </conditionalFormatting>
  <conditionalFormatting sqref="B22">
    <cfRule type="duplicateValues" dxfId="0" priority="244"/>
  </conditionalFormatting>
  <conditionalFormatting sqref="B28">
    <cfRule type="duplicateValues" dxfId="0" priority="443"/>
  </conditionalFormatting>
  <conditionalFormatting sqref="B29">
    <cfRule type="duplicateValues" dxfId="0" priority="439"/>
  </conditionalFormatting>
  <conditionalFormatting sqref="B37">
    <cfRule type="duplicateValues" dxfId="0" priority="438"/>
  </conditionalFormatting>
  <conditionalFormatting sqref="C37">
    <cfRule type="duplicateValues" dxfId="0" priority="429"/>
  </conditionalFormatting>
  <conditionalFormatting sqref="B38">
    <cfRule type="duplicateValues" dxfId="0" priority="435"/>
  </conditionalFormatting>
  <conditionalFormatting sqref="B42">
    <cfRule type="duplicateValues" dxfId="0" priority="430"/>
  </conditionalFormatting>
  <conditionalFormatting sqref="B43">
    <cfRule type="duplicateValues" dxfId="0" priority="437"/>
  </conditionalFormatting>
  <conditionalFormatting sqref="B46">
    <cfRule type="duplicateValues" dxfId="0" priority="240"/>
  </conditionalFormatting>
  <conditionalFormatting sqref="B47">
    <cfRule type="duplicateValues" dxfId="0" priority="239"/>
  </conditionalFormatting>
  <conditionalFormatting sqref="B48">
    <cfRule type="duplicateValues" dxfId="0" priority="238"/>
  </conditionalFormatting>
  <conditionalFormatting sqref="B54">
    <cfRule type="duplicateValues" dxfId="0" priority="428"/>
  </conditionalFormatting>
  <conditionalFormatting sqref="B61">
    <cfRule type="duplicateValues" dxfId="0" priority="424"/>
  </conditionalFormatting>
  <conditionalFormatting sqref="C61">
    <cfRule type="duplicateValues" dxfId="0" priority="415"/>
  </conditionalFormatting>
  <conditionalFormatting sqref="B62">
    <cfRule type="duplicateValues" dxfId="0" priority="421"/>
  </conditionalFormatting>
  <conditionalFormatting sqref="B63">
    <cfRule type="duplicateValues" dxfId="0" priority="417"/>
  </conditionalFormatting>
  <conditionalFormatting sqref="B64">
    <cfRule type="duplicateValues" dxfId="0" priority="416"/>
  </conditionalFormatting>
  <conditionalFormatting sqref="B65">
    <cfRule type="duplicateValues" dxfId="0" priority="423"/>
  </conditionalFormatting>
  <conditionalFormatting sqref="B68">
    <cfRule type="duplicateValues" dxfId="0" priority="235"/>
  </conditionalFormatting>
  <conditionalFormatting sqref="B71">
    <cfRule type="duplicateValues" dxfId="0" priority="233"/>
  </conditionalFormatting>
  <conditionalFormatting sqref="B77">
    <cfRule type="duplicateValues" dxfId="0" priority="414"/>
  </conditionalFormatting>
  <conditionalFormatting sqref="B84">
    <cfRule type="duplicateValues" dxfId="0" priority="413"/>
  </conditionalFormatting>
  <conditionalFormatting sqref="C84">
    <cfRule type="duplicateValues" dxfId="0" priority="404"/>
  </conditionalFormatting>
  <conditionalFormatting sqref="B85">
    <cfRule type="duplicateValues" dxfId="0" priority="410"/>
  </conditionalFormatting>
  <conditionalFormatting sqref="B89">
    <cfRule type="duplicateValues" dxfId="0" priority="405"/>
  </conditionalFormatting>
  <conditionalFormatting sqref="B90">
    <cfRule type="duplicateValues" dxfId="0" priority="412"/>
  </conditionalFormatting>
  <conditionalFormatting sqref="B95">
    <cfRule type="duplicateValues" dxfId="0" priority="228"/>
  </conditionalFormatting>
  <conditionalFormatting sqref="B96">
    <cfRule type="duplicateValues" dxfId="0" priority="229"/>
  </conditionalFormatting>
  <conditionalFormatting sqref="B101">
    <cfRule type="duplicateValues" dxfId="0" priority="407"/>
  </conditionalFormatting>
  <conditionalFormatting sqref="B102">
    <cfRule type="duplicateValues" dxfId="0" priority="403"/>
  </conditionalFormatting>
  <conditionalFormatting sqref="B109">
    <cfRule type="duplicateValues" dxfId="0" priority="226"/>
  </conditionalFormatting>
  <conditionalFormatting sqref="B110">
    <cfRule type="duplicateValues" dxfId="0" priority="224"/>
  </conditionalFormatting>
  <conditionalFormatting sqref="B111">
    <cfRule type="duplicateValues" dxfId="0" priority="402"/>
  </conditionalFormatting>
  <conditionalFormatting sqref="C111">
    <cfRule type="duplicateValues" dxfId="0" priority="393"/>
  </conditionalFormatting>
  <conditionalFormatting sqref="B112">
    <cfRule type="duplicateValues" dxfId="0" priority="399"/>
  </conditionalFormatting>
  <conditionalFormatting sqref="B115">
    <cfRule type="duplicateValues" dxfId="0" priority="394"/>
  </conditionalFormatting>
  <conditionalFormatting sqref="B116">
    <cfRule type="duplicateValues" dxfId="0" priority="401"/>
  </conditionalFormatting>
  <conditionalFormatting sqref="B118">
    <cfRule type="duplicateValues" dxfId="0" priority="221"/>
  </conditionalFormatting>
  <conditionalFormatting sqref="B121">
    <cfRule type="duplicateValues" dxfId="0" priority="396"/>
  </conditionalFormatting>
  <conditionalFormatting sqref="B122">
    <cfRule type="duplicateValues" dxfId="0" priority="392"/>
  </conditionalFormatting>
  <conditionalFormatting sqref="B123">
    <cfRule type="duplicateValues" dxfId="0" priority="397"/>
  </conditionalFormatting>
  <conditionalFormatting sqref="B125">
    <cfRule type="duplicateValues" dxfId="0" priority="398"/>
  </conditionalFormatting>
  <conditionalFormatting sqref="B126">
    <cfRule type="duplicateValues" dxfId="0" priority="391"/>
  </conditionalFormatting>
  <conditionalFormatting sqref="C126">
    <cfRule type="duplicateValues" dxfId="0" priority="382"/>
  </conditionalFormatting>
  <conditionalFormatting sqref="B127">
    <cfRule type="duplicateValues" dxfId="0" priority="388"/>
  </conditionalFormatting>
  <conditionalFormatting sqref="B131">
    <cfRule type="duplicateValues" dxfId="0" priority="383"/>
  </conditionalFormatting>
  <conditionalFormatting sqref="B132">
    <cfRule type="duplicateValues" dxfId="0" priority="390"/>
  </conditionalFormatting>
  <conditionalFormatting sqref="B138">
    <cfRule type="duplicateValues" dxfId="0" priority="218"/>
  </conditionalFormatting>
  <conditionalFormatting sqref="B146">
    <cfRule type="duplicateValues" dxfId="0" priority="386"/>
  </conditionalFormatting>
  <conditionalFormatting sqref="B147">
    <cfRule type="duplicateValues" dxfId="0" priority="381"/>
  </conditionalFormatting>
  <conditionalFormatting sqref="B149">
    <cfRule type="duplicateValues" dxfId="0" priority="387"/>
  </conditionalFormatting>
  <conditionalFormatting sqref="B150">
    <cfRule type="duplicateValues" dxfId="0" priority="212"/>
  </conditionalFormatting>
  <conditionalFormatting sqref="B151">
    <cfRule type="duplicateValues" dxfId="0" priority="380"/>
  </conditionalFormatting>
  <conditionalFormatting sqref="C151">
    <cfRule type="duplicateValues" dxfId="0" priority="371"/>
  </conditionalFormatting>
  <conditionalFormatting sqref="B152">
    <cfRule type="duplicateValues" dxfId="0" priority="377"/>
  </conditionalFormatting>
  <conditionalFormatting sqref="B153">
    <cfRule type="duplicateValues" dxfId="0" priority="373"/>
  </conditionalFormatting>
  <conditionalFormatting sqref="B154">
    <cfRule type="duplicateValues" dxfId="0" priority="372"/>
  </conditionalFormatting>
  <conditionalFormatting sqref="B155">
    <cfRule type="duplicateValues" dxfId="0" priority="379"/>
  </conditionalFormatting>
  <conditionalFormatting sqref="B158">
    <cfRule type="duplicateValues" dxfId="0" priority="214"/>
  </conditionalFormatting>
  <conditionalFormatting sqref="B162">
    <cfRule type="duplicateValues" dxfId="0" priority="374"/>
  </conditionalFormatting>
  <conditionalFormatting sqref="B163">
    <cfRule type="duplicateValues" dxfId="0" priority="370"/>
  </conditionalFormatting>
  <conditionalFormatting sqref="B165">
    <cfRule type="duplicateValues" dxfId="0" priority="112"/>
  </conditionalFormatting>
  <conditionalFormatting sqref="C165">
    <cfRule type="duplicateValues" dxfId="0" priority="111"/>
  </conditionalFormatting>
  <conditionalFormatting sqref="B166">
    <cfRule type="duplicateValues" dxfId="0" priority="110"/>
  </conditionalFormatting>
  <conditionalFormatting sqref="B167">
    <cfRule type="duplicateValues" dxfId="0" priority="109"/>
  </conditionalFormatting>
  <conditionalFormatting sqref="B169">
    <cfRule type="duplicateValues" dxfId="0" priority="369"/>
  </conditionalFormatting>
  <conditionalFormatting sqref="C169">
    <cfRule type="duplicateValues" dxfId="0" priority="361"/>
  </conditionalFormatting>
  <conditionalFormatting sqref="B170">
    <cfRule type="duplicateValues" dxfId="0" priority="366"/>
  </conditionalFormatting>
  <conditionalFormatting sqref="B171">
    <cfRule type="duplicateValues" dxfId="0" priority="363"/>
  </conditionalFormatting>
  <conditionalFormatting sqref="B174">
    <cfRule type="duplicateValues" dxfId="0" priority="368"/>
  </conditionalFormatting>
  <conditionalFormatting sqref="B177">
    <cfRule type="duplicateValues" dxfId="0" priority="208"/>
  </conditionalFormatting>
  <conditionalFormatting sqref="B178">
    <cfRule type="duplicateValues" dxfId="0" priority="207"/>
  </conditionalFormatting>
  <conditionalFormatting sqref="B182">
    <cfRule type="duplicateValues" dxfId="0" priority="205"/>
  </conditionalFormatting>
  <conditionalFormatting sqref="B189">
    <cfRule type="duplicateValues" dxfId="0" priority="360"/>
  </conditionalFormatting>
  <conditionalFormatting sqref="B192">
    <cfRule type="duplicateValues" dxfId="0" priority="200"/>
  </conditionalFormatting>
  <conditionalFormatting sqref="B195">
    <cfRule type="duplicateValues" dxfId="0" priority="359"/>
  </conditionalFormatting>
  <conditionalFormatting sqref="C195">
    <cfRule type="duplicateValues" dxfId="0" priority="351"/>
  </conditionalFormatting>
  <conditionalFormatting sqref="B196">
    <cfRule type="duplicateValues" dxfId="0" priority="356"/>
  </conditionalFormatting>
  <conditionalFormatting sqref="B197">
    <cfRule type="duplicateValues" dxfId="0" priority="353"/>
  </conditionalFormatting>
  <conditionalFormatting sqref="B198">
    <cfRule type="duplicateValues" dxfId="0" priority="352"/>
  </conditionalFormatting>
  <conditionalFormatting sqref="B199">
    <cfRule type="duplicateValues" dxfId="0" priority="358"/>
  </conditionalFormatting>
  <conditionalFormatting sqref="B200">
    <cfRule type="duplicateValues" dxfId="0" priority="203"/>
  </conditionalFormatting>
  <conditionalFormatting sqref="B201">
    <cfRule type="duplicateValues" dxfId="0" priority="201"/>
  </conditionalFormatting>
  <conditionalFormatting sqref="B205">
    <cfRule type="duplicateValues" dxfId="0" priority="354"/>
  </conditionalFormatting>
  <conditionalFormatting sqref="B206">
    <cfRule type="duplicateValues" dxfId="0" priority="350"/>
  </conditionalFormatting>
  <conditionalFormatting sqref="B208">
    <cfRule type="duplicateValues" dxfId="0" priority="349"/>
  </conditionalFormatting>
  <conditionalFormatting sqref="C208">
    <cfRule type="duplicateValues" dxfId="0" priority="341"/>
  </conditionalFormatting>
  <conditionalFormatting sqref="B209">
    <cfRule type="duplicateValues" dxfId="0" priority="346"/>
  </conditionalFormatting>
  <conditionalFormatting sqref="B213">
    <cfRule type="duplicateValues" dxfId="0" priority="337"/>
  </conditionalFormatting>
  <conditionalFormatting sqref="B216">
    <cfRule type="duplicateValues" dxfId="0" priority="338"/>
  </conditionalFormatting>
  <conditionalFormatting sqref="B223">
    <cfRule type="duplicateValues" dxfId="0" priority="340"/>
  </conditionalFormatting>
  <conditionalFormatting sqref="B225">
    <cfRule type="duplicateValues" dxfId="0" priority="334"/>
  </conditionalFormatting>
  <conditionalFormatting sqref="C225">
    <cfRule type="duplicateValues" dxfId="0" priority="326"/>
  </conditionalFormatting>
  <conditionalFormatting sqref="B226">
    <cfRule type="duplicateValues" dxfId="0" priority="331"/>
  </conditionalFormatting>
  <conditionalFormatting sqref="B230">
    <cfRule type="duplicateValues" dxfId="0" priority="327"/>
  </conditionalFormatting>
  <conditionalFormatting sqref="B233">
    <cfRule type="duplicateValues" dxfId="0" priority="199"/>
  </conditionalFormatting>
  <conditionalFormatting sqref="B234">
    <cfRule type="duplicateValues" dxfId="0" priority="197"/>
  </conditionalFormatting>
  <conditionalFormatting sqref="B235">
    <cfRule type="duplicateValues" dxfId="0" priority="198"/>
  </conditionalFormatting>
  <conditionalFormatting sqref="B240">
    <cfRule type="duplicateValues" dxfId="0" priority="325"/>
  </conditionalFormatting>
  <conditionalFormatting sqref="B242">
    <cfRule type="duplicateValues" dxfId="0" priority="196"/>
  </conditionalFormatting>
  <conditionalFormatting sqref="B243">
    <cfRule type="duplicateValues" dxfId="0" priority="324"/>
  </conditionalFormatting>
  <conditionalFormatting sqref="C243">
    <cfRule type="duplicateValues" dxfId="0" priority="316"/>
  </conditionalFormatting>
  <conditionalFormatting sqref="B244">
    <cfRule type="duplicateValues" dxfId="0" priority="321"/>
  </conditionalFormatting>
  <conditionalFormatting sqref="B249">
    <cfRule type="duplicateValues" dxfId="0" priority="323"/>
  </conditionalFormatting>
  <conditionalFormatting sqref="B254">
    <cfRule type="duplicateValues" dxfId="0" priority="193"/>
  </conditionalFormatting>
  <conditionalFormatting sqref="B255">
    <cfRule type="duplicateValues" dxfId="0" priority="194"/>
  </conditionalFormatting>
  <conditionalFormatting sqref="B263">
    <cfRule type="duplicateValues" dxfId="0" priority="315"/>
  </conditionalFormatting>
  <conditionalFormatting sqref="B265">
    <cfRule type="duplicateValues" dxfId="0" priority="191"/>
  </conditionalFormatting>
  <conditionalFormatting sqref="B266">
    <cfRule type="duplicateValues" dxfId="0" priority="192"/>
  </conditionalFormatting>
  <conditionalFormatting sqref="B267">
    <cfRule type="duplicateValues" dxfId="0" priority="190"/>
  </conditionalFormatting>
  <conditionalFormatting sqref="B268">
    <cfRule type="duplicateValues" dxfId="0" priority="314"/>
  </conditionalFormatting>
  <conditionalFormatting sqref="C268">
    <cfRule type="duplicateValues" dxfId="0" priority="306"/>
  </conditionalFormatting>
  <conditionalFormatting sqref="B269">
    <cfRule type="duplicateValues" dxfId="0" priority="311"/>
  </conditionalFormatting>
  <conditionalFormatting sqref="B274">
    <cfRule type="duplicateValues" dxfId="0" priority="313"/>
  </conditionalFormatting>
  <conditionalFormatting sqref="B278">
    <cfRule type="duplicateValues" dxfId="0" priority="187"/>
  </conditionalFormatting>
  <conditionalFormatting sqref="B286">
    <cfRule type="duplicateValues" dxfId="0" priority="305"/>
  </conditionalFormatting>
  <conditionalFormatting sqref="B288">
    <cfRule type="duplicateValues" dxfId="0" priority="186"/>
  </conditionalFormatting>
  <conditionalFormatting sqref="B289">
    <cfRule type="duplicateValues" dxfId="0" priority="304"/>
  </conditionalFormatting>
  <conditionalFormatting sqref="C289">
    <cfRule type="duplicateValues" dxfId="0" priority="296"/>
  </conditionalFormatting>
  <conditionalFormatting sqref="B290">
    <cfRule type="duplicateValues" dxfId="0" priority="301"/>
  </conditionalFormatting>
  <conditionalFormatting sqref="B293">
    <cfRule type="duplicateValues" dxfId="0" priority="297"/>
  </conditionalFormatting>
  <conditionalFormatting sqref="B294">
    <cfRule type="duplicateValues" dxfId="0" priority="303"/>
  </conditionalFormatting>
  <conditionalFormatting sqref="B295">
    <cfRule type="duplicateValues" dxfId="0" priority="185"/>
  </conditionalFormatting>
  <conditionalFormatting sqref="B296">
    <cfRule type="duplicateValues" dxfId="0" priority="184"/>
  </conditionalFormatting>
  <conditionalFormatting sqref="B297">
    <cfRule type="duplicateValues" dxfId="0" priority="182"/>
  </conditionalFormatting>
  <conditionalFormatting sqref="B301">
    <cfRule type="duplicateValues" dxfId="0" priority="299"/>
  </conditionalFormatting>
  <conditionalFormatting sqref="B302">
    <cfRule type="duplicateValues" dxfId="0" priority="295"/>
  </conditionalFormatting>
  <conditionalFormatting sqref="B304">
    <cfRule type="duplicateValues" dxfId="0" priority="300"/>
  </conditionalFormatting>
  <conditionalFormatting sqref="B305">
    <cfRule type="duplicateValues" dxfId="0" priority="294"/>
  </conditionalFormatting>
  <conditionalFormatting sqref="C305">
    <cfRule type="duplicateValues" dxfId="0" priority="286"/>
  </conditionalFormatting>
  <conditionalFormatting sqref="B306">
    <cfRule type="duplicateValues" dxfId="0" priority="291"/>
  </conditionalFormatting>
  <conditionalFormatting sqref="B310">
    <cfRule type="duplicateValues" dxfId="0" priority="287"/>
  </conditionalFormatting>
  <conditionalFormatting sqref="B311">
    <cfRule type="duplicateValues" dxfId="0" priority="293"/>
  </conditionalFormatting>
  <conditionalFormatting sqref="B317">
    <cfRule type="duplicateValues" dxfId="0" priority="179"/>
  </conditionalFormatting>
  <conditionalFormatting sqref="B318">
    <cfRule type="duplicateValues" dxfId="0" priority="180"/>
  </conditionalFormatting>
  <conditionalFormatting sqref="B326">
    <cfRule type="duplicateValues" dxfId="0" priority="285"/>
  </conditionalFormatting>
  <conditionalFormatting sqref="B331">
    <cfRule type="duplicateValues" dxfId="0" priority="108"/>
  </conditionalFormatting>
  <conditionalFormatting sqref="C331">
    <cfRule type="duplicateValues" dxfId="0" priority="107"/>
  </conditionalFormatting>
  <conditionalFormatting sqref="B335">
    <cfRule type="duplicateValues" dxfId="0" priority="105"/>
  </conditionalFormatting>
  <conditionalFormatting sqref="B337">
    <cfRule type="duplicateValues" dxfId="0" priority="284"/>
  </conditionalFormatting>
  <conditionalFormatting sqref="C337">
    <cfRule type="duplicateValues" dxfId="0" priority="276"/>
  </conditionalFormatting>
  <conditionalFormatting sqref="B338">
    <cfRule type="duplicateValues" dxfId="0" priority="281"/>
  </conditionalFormatting>
  <conditionalFormatting sqref="B343">
    <cfRule type="duplicateValues" dxfId="0" priority="277"/>
  </conditionalFormatting>
  <conditionalFormatting sqref="B351">
    <cfRule type="duplicateValues" dxfId="0" priority="172"/>
  </conditionalFormatting>
  <conditionalFormatting sqref="B352">
    <cfRule type="duplicateValues" dxfId="0" priority="174"/>
  </conditionalFormatting>
  <conditionalFormatting sqref="B353">
    <cfRule type="duplicateValues" dxfId="0" priority="173"/>
  </conditionalFormatting>
  <conditionalFormatting sqref="B354">
    <cfRule type="duplicateValues" dxfId="0" priority="176"/>
  </conditionalFormatting>
  <conditionalFormatting sqref="B361">
    <cfRule type="duplicateValues" dxfId="0" priority="275"/>
  </conditionalFormatting>
  <conditionalFormatting sqref="B363">
    <cfRule type="duplicateValues" dxfId="0" priority="171"/>
  </conditionalFormatting>
  <conditionalFormatting sqref="B364">
    <cfRule type="duplicateValues" dxfId="0" priority="274"/>
  </conditionalFormatting>
  <conditionalFormatting sqref="C364">
    <cfRule type="duplicateValues" dxfId="0" priority="266"/>
  </conditionalFormatting>
  <conditionalFormatting sqref="B365">
    <cfRule type="duplicateValues" dxfId="0" priority="271"/>
  </conditionalFormatting>
  <conditionalFormatting sqref="B370">
    <cfRule type="duplicateValues" dxfId="0" priority="267"/>
  </conditionalFormatting>
  <conditionalFormatting sqref="B371">
    <cfRule type="duplicateValues" dxfId="0" priority="273"/>
  </conditionalFormatting>
  <conditionalFormatting sqref="B378">
    <cfRule type="duplicateValues" dxfId="0" priority="165"/>
  </conditionalFormatting>
  <conditionalFormatting sqref="B379">
    <cfRule type="duplicateValues" dxfId="0" priority="167"/>
  </conditionalFormatting>
  <conditionalFormatting sqref="B380">
    <cfRule type="duplicateValues" dxfId="0" priority="166"/>
  </conditionalFormatting>
  <conditionalFormatting sqref="B381">
    <cfRule type="duplicateValues" dxfId="0" priority="169"/>
  </conditionalFormatting>
  <conditionalFormatting sqref="B382">
    <cfRule type="duplicateValues" dxfId="0" priority="168"/>
  </conditionalFormatting>
  <conditionalFormatting sqref="B383">
    <cfRule type="duplicateValues" dxfId="0" priority="134"/>
  </conditionalFormatting>
  <conditionalFormatting sqref="B388">
    <cfRule type="duplicateValues" dxfId="0" priority="265"/>
  </conditionalFormatting>
  <conditionalFormatting sqref="B390">
    <cfRule type="duplicateValues" dxfId="0" priority="164"/>
  </conditionalFormatting>
  <conditionalFormatting sqref="B391">
    <cfRule type="duplicateValues" dxfId="0" priority="264"/>
  </conditionalFormatting>
  <conditionalFormatting sqref="C391">
    <cfRule type="duplicateValues" dxfId="0" priority="256"/>
  </conditionalFormatting>
  <conditionalFormatting sqref="B392">
    <cfRule type="duplicateValues" dxfId="0" priority="261"/>
  </conditionalFormatting>
  <conditionalFormatting sqref="B397">
    <cfRule type="duplicateValues" dxfId="0" priority="257"/>
  </conditionalFormatting>
  <conditionalFormatting sqref="B398">
    <cfRule type="duplicateValues" dxfId="0" priority="263"/>
  </conditionalFormatting>
  <conditionalFormatting sqref="B405">
    <cfRule type="duplicateValues" dxfId="0" priority="158"/>
  </conditionalFormatting>
  <conditionalFormatting sqref="B406">
    <cfRule type="duplicateValues" dxfId="0" priority="160"/>
  </conditionalFormatting>
  <conditionalFormatting sqref="B407">
    <cfRule type="duplicateValues" dxfId="0" priority="159"/>
  </conditionalFormatting>
  <conditionalFormatting sqref="B408">
    <cfRule type="duplicateValues" dxfId="0" priority="162"/>
  </conditionalFormatting>
  <conditionalFormatting sqref="B409">
    <cfRule type="duplicateValues" dxfId="0" priority="161"/>
  </conditionalFormatting>
  <conditionalFormatting sqref="B410">
    <cfRule type="duplicateValues" dxfId="0" priority="133"/>
  </conditionalFormatting>
  <conditionalFormatting sqref="B415">
    <cfRule type="duplicateValues" dxfId="0" priority="255"/>
  </conditionalFormatting>
  <conditionalFormatting sqref="B417">
    <cfRule type="duplicateValues" dxfId="0" priority="157"/>
  </conditionalFormatting>
  <conditionalFormatting sqref="B418">
    <cfRule type="duplicateValues" dxfId="0" priority="254"/>
  </conditionalFormatting>
  <conditionalFormatting sqref="C418">
    <cfRule type="duplicateValues" dxfId="0" priority="246"/>
  </conditionalFormatting>
  <conditionalFormatting sqref="B419">
    <cfRule type="duplicateValues" dxfId="0" priority="251"/>
  </conditionalFormatting>
  <conditionalFormatting sqref="B424">
    <cfRule type="duplicateValues" dxfId="0" priority="247"/>
  </conditionalFormatting>
  <conditionalFormatting sqref="B425">
    <cfRule type="duplicateValues" dxfId="0" priority="253"/>
  </conditionalFormatting>
  <conditionalFormatting sqref="B432">
    <cfRule type="duplicateValues" dxfId="0" priority="151"/>
  </conditionalFormatting>
  <conditionalFormatting sqref="B433">
    <cfRule type="duplicateValues" dxfId="0" priority="153"/>
  </conditionalFormatting>
  <conditionalFormatting sqref="B434">
    <cfRule type="duplicateValues" dxfId="0" priority="152"/>
  </conditionalFormatting>
  <conditionalFormatting sqref="B435">
    <cfRule type="duplicateValues" dxfId="0" priority="155"/>
  </conditionalFormatting>
  <conditionalFormatting sqref="B436">
    <cfRule type="duplicateValues" dxfId="0" priority="154"/>
  </conditionalFormatting>
  <conditionalFormatting sqref="B437">
    <cfRule type="duplicateValues" dxfId="0" priority="132"/>
  </conditionalFormatting>
  <conditionalFormatting sqref="B442">
    <cfRule type="duplicateValues" dxfId="0" priority="245"/>
  </conditionalFormatting>
  <conditionalFormatting sqref="B444">
    <cfRule type="duplicateValues" dxfId="0" priority="150"/>
  </conditionalFormatting>
  <conditionalFormatting sqref="B445">
    <cfRule type="duplicateValues" dxfId="0" priority="104"/>
  </conditionalFormatting>
  <conditionalFormatting sqref="C445">
    <cfRule type="duplicateValues" dxfId="0" priority="103"/>
  </conditionalFormatting>
  <conditionalFormatting sqref="B453">
    <cfRule type="duplicateValues" dxfId="0" priority="666"/>
  </conditionalFormatting>
  <conditionalFormatting sqref="B454">
    <cfRule type="duplicateValues" dxfId="0" priority="665"/>
  </conditionalFormatting>
  <conditionalFormatting sqref="B468">
    <cfRule type="duplicateValues" dxfId="0" priority="1288"/>
  </conditionalFormatting>
  <conditionalFormatting sqref="B469">
    <cfRule type="duplicateValues" dxfId="0" priority="608"/>
  </conditionalFormatting>
  <conditionalFormatting sqref="B479">
    <cfRule type="duplicateValues" dxfId="0" priority="663"/>
  </conditionalFormatting>
  <conditionalFormatting sqref="B481">
    <cfRule type="duplicateValues" dxfId="0" priority="654"/>
  </conditionalFormatting>
  <conditionalFormatting sqref="B482">
    <cfRule type="duplicateValues" dxfId="0" priority="653"/>
  </conditionalFormatting>
  <conditionalFormatting sqref="B483">
    <cfRule type="duplicateValues" dxfId="0" priority="652"/>
  </conditionalFormatting>
  <conditionalFormatting sqref="B497">
    <cfRule type="duplicateValues" dxfId="0" priority="657"/>
  </conditionalFormatting>
  <conditionalFormatting sqref="B499">
    <cfRule type="duplicateValues" dxfId="0" priority="131"/>
  </conditionalFormatting>
  <conditionalFormatting sqref="B500">
    <cfRule type="duplicateValues" dxfId="0" priority="130"/>
  </conditionalFormatting>
  <conditionalFormatting sqref="B501">
    <cfRule type="duplicateValues" dxfId="0" priority="651"/>
  </conditionalFormatting>
  <conditionalFormatting sqref="B502">
    <cfRule type="duplicateValues" dxfId="0" priority="648"/>
  </conditionalFormatting>
  <conditionalFormatting sqref="B503">
    <cfRule type="duplicateValues" dxfId="0" priority="642"/>
  </conditionalFormatting>
  <conditionalFormatting sqref="B504">
    <cfRule type="duplicateValues" dxfId="0" priority="650"/>
  </conditionalFormatting>
  <conditionalFormatting sqref="B506">
    <cfRule type="duplicateValues" dxfId="0" priority="645"/>
  </conditionalFormatting>
  <conditionalFormatting sqref="B508">
    <cfRule type="duplicateValues" dxfId="0" priority="1388"/>
  </conditionalFormatting>
  <conditionalFormatting sqref="B509">
    <cfRule type="duplicateValues" dxfId="0" priority="1385"/>
  </conditionalFormatting>
  <conditionalFormatting sqref="B513">
    <cfRule type="duplicateValues" dxfId="0" priority="790"/>
  </conditionalFormatting>
  <conditionalFormatting sqref="B514">
    <cfRule type="duplicateValues" dxfId="0" priority="639"/>
  </conditionalFormatting>
  <conditionalFormatting sqref="B515">
    <cfRule type="duplicateValues" dxfId="0" priority="1281"/>
  </conditionalFormatting>
  <conditionalFormatting sqref="B516">
    <cfRule type="duplicateValues" dxfId="0" priority="1387"/>
  </conditionalFormatting>
  <conditionalFormatting sqref="B517">
    <cfRule type="duplicateValues" dxfId="0" priority="1277"/>
  </conditionalFormatting>
  <conditionalFormatting sqref="B525">
    <cfRule type="duplicateValues" dxfId="0" priority="1386"/>
  </conditionalFormatting>
  <conditionalFormatting sqref="B526">
    <cfRule type="duplicateValues" dxfId="0" priority="1270"/>
  </conditionalFormatting>
  <conditionalFormatting sqref="B527">
    <cfRule type="duplicateValues" dxfId="0" priority="1269"/>
  </conditionalFormatting>
  <conditionalFormatting sqref="B528">
    <cfRule type="duplicateValues" dxfId="0" priority="1268"/>
  </conditionalFormatting>
  <conditionalFormatting sqref="B529">
    <cfRule type="duplicateValues" dxfId="0" priority="470"/>
  </conditionalFormatting>
  <conditionalFormatting sqref="B530">
    <cfRule type="duplicateValues" dxfId="0" priority="1272"/>
  </conditionalFormatting>
  <conditionalFormatting sqref="B536">
    <cfRule type="duplicateValues" dxfId="0" priority="638"/>
  </conditionalFormatting>
  <conditionalFormatting sqref="B537">
    <cfRule type="duplicateValues" dxfId="0" priority="635"/>
  </conditionalFormatting>
  <conditionalFormatting sqref="B538">
    <cfRule type="duplicateValues" dxfId="0" priority="631"/>
  </conditionalFormatting>
  <conditionalFormatting sqref="B553">
    <cfRule type="duplicateValues" dxfId="0" priority="129"/>
  </conditionalFormatting>
  <conditionalFormatting sqref="B555">
    <cfRule type="duplicateValues" dxfId="0" priority="630"/>
  </conditionalFormatting>
  <conditionalFormatting sqref="B563">
    <cfRule type="duplicateValues" dxfId="0" priority="607"/>
  </conditionalFormatting>
  <conditionalFormatting sqref="B565">
    <cfRule type="duplicateValues" dxfId="0" priority="128"/>
  </conditionalFormatting>
  <conditionalFormatting sqref="B566">
    <cfRule type="duplicateValues" dxfId="0" priority="127"/>
  </conditionalFormatting>
  <conditionalFormatting sqref="B572">
    <cfRule type="duplicateValues" dxfId="0" priority="628"/>
  </conditionalFormatting>
  <conditionalFormatting sqref="B573">
    <cfRule type="duplicateValues" dxfId="0" priority="625"/>
  </conditionalFormatting>
  <conditionalFormatting sqref="B575">
    <cfRule type="duplicateValues" dxfId="0" priority="618"/>
  </conditionalFormatting>
  <conditionalFormatting sqref="B580">
    <cfRule type="duplicateValues" dxfId="0" priority="96"/>
  </conditionalFormatting>
  <conditionalFormatting sqref="B581">
    <cfRule type="duplicateValues" dxfId="0" priority="126"/>
  </conditionalFormatting>
  <conditionalFormatting sqref="B583">
    <cfRule type="duplicateValues" dxfId="0" priority="620"/>
  </conditionalFormatting>
  <conditionalFormatting sqref="B590">
    <cfRule type="duplicateValues" dxfId="0" priority="624"/>
  </conditionalFormatting>
  <conditionalFormatting sqref="B591">
    <cfRule type="duplicateValues" dxfId="0" priority="617"/>
  </conditionalFormatting>
  <conditionalFormatting sqref="B592">
    <cfRule type="duplicateValues" dxfId="0" priority="614"/>
  </conditionalFormatting>
  <conditionalFormatting sqref="B594">
    <cfRule type="duplicateValues" dxfId="0" priority="609"/>
  </conditionalFormatting>
  <conditionalFormatting sqref="B607">
    <cfRule type="duplicateValues" dxfId="0" priority="124"/>
  </conditionalFormatting>
  <conditionalFormatting sqref="B608">
    <cfRule type="duplicateValues" dxfId="0" priority="586"/>
  </conditionalFormatting>
  <conditionalFormatting sqref="B609">
    <cfRule type="duplicateValues" dxfId="0" priority="603"/>
  </conditionalFormatting>
  <conditionalFormatting sqref="B611">
    <cfRule type="duplicateValues" dxfId="0" priority="598"/>
  </conditionalFormatting>
  <conditionalFormatting sqref="B618">
    <cfRule type="duplicateValues" dxfId="0" priority="123"/>
  </conditionalFormatting>
  <conditionalFormatting sqref="B619">
    <cfRule type="duplicateValues" dxfId="0" priority="84"/>
  </conditionalFormatting>
  <conditionalFormatting sqref="B620">
    <cfRule type="duplicateValues" dxfId="0" priority="599"/>
  </conditionalFormatting>
  <conditionalFormatting sqref="B626">
    <cfRule type="duplicateValues" dxfId="0" priority="83"/>
  </conditionalFormatting>
  <conditionalFormatting sqref="B627">
    <cfRule type="duplicateValues" dxfId="0" priority="602"/>
  </conditionalFormatting>
  <conditionalFormatting sqref="B628">
    <cfRule type="duplicateValues" dxfId="0" priority="85"/>
  </conditionalFormatting>
  <conditionalFormatting sqref="B629">
    <cfRule type="duplicateValues" dxfId="0" priority="82"/>
  </conditionalFormatting>
  <conditionalFormatting sqref="B631">
    <cfRule type="duplicateValues" dxfId="0" priority="589"/>
  </conditionalFormatting>
  <conditionalFormatting sqref="B635">
    <cfRule type="duplicateValues" dxfId="0" priority="81"/>
  </conditionalFormatting>
  <conditionalFormatting sqref="B637">
    <cfRule type="duplicateValues" dxfId="0" priority="95"/>
  </conditionalFormatting>
  <conditionalFormatting sqref="B639">
    <cfRule type="duplicateValues" dxfId="0" priority="122"/>
  </conditionalFormatting>
  <conditionalFormatting sqref="B641">
    <cfRule type="duplicateValues" dxfId="0" priority="590"/>
  </conditionalFormatting>
  <conditionalFormatting sqref="B648">
    <cfRule type="duplicateValues" dxfId="0" priority="593"/>
  </conditionalFormatting>
  <conditionalFormatting sqref="B649">
    <cfRule type="duplicateValues" dxfId="0" priority="585"/>
  </conditionalFormatting>
  <conditionalFormatting sqref="B650">
    <cfRule type="duplicateValues" dxfId="0" priority="582"/>
  </conditionalFormatting>
  <conditionalFormatting sqref="B651">
    <cfRule type="duplicateValues" dxfId="0" priority="575"/>
  </conditionalFormatting>
  <conditionalFormatting sqref="B652">
    <cfRule type="duplicateValues" dxfId="0" priority="577"/>
  </conditionalFormatting>
  <conditionalFormatting sqref="B653">
    <cfRule type="duplicateValues" dxfId="0" priority="576"/>
  </conditionalFormatting>
  <conditionalFormatting sqref="B654">
    <cfRule type="duplicateValues" dxfId="0" priority="579"/>
  </conditionalFormatting>
  <conditionalFormatting sqref="B655">
    <cfRule type="duplicateValues" dxfId="0" priority="584"/>
  </conditionalFormatting>
  <conditionalFormatting sqref="B657">
    <cfRule type="duplicateValues" dxfId="0" priority="94"/>
  </conditionalFormatting>
  <conditionalFormatting sqref="B658">
    <cfRule type="duplicateValues" dxfId="0" priority="86"/>
  </conditionalFormatting>
  <conditionalFormatting sqref="B660">
    <cfRule type="duplicateValues" dxfId="0" priority="143"/>
  </conditionalFormatting>
  <conditionalFormatting sqref="B661">
    <cfRule type="duplicateValues" dxfId="0" priority="144"/>
  </conditionalFormatting>
  <conditionalFormatting sqref="B666">
    <cfRule type="duplicateValues" dxfId="0" priority="578"/>
  </conditionalFormatting>
  <conditionalFormatting sqref="B672">
    <cfRule type="duplicateValues" dxfId="0" priority="581"/>
  </conditionalFormatting>
  <conditionalFormatting sqref="B673">
    <cfRule type="duplicateValues" dxfId="0" priority="121"/>
  </conditionalFormatting>
  <conditionalFormatting sqref="B674">
    <cfRule type="duplicateValues" dxfId="0" priority="574"/>
  </conditionalFormatting>
  <conditionalFormatting sqref="B675">
    <cfRule type="duplicateValues" dxfId="0" priority="571"/>
  </conditionalFormatting>
  <conditionalFormatting sqref="B676">
    <cfRule type="duplicateValues" dxfId="0" priority="564"/>
  </conditionalFormatting>
  <conditionalFormatting sqref="B677">
    <cfRule type="duplicateValues" dxfId="0" priority="566"/>
  </conditionalFormatting>
  <conditionalFormatting sqref="B678">
    <cfRule type="duplicateValues" dxfId="0" priority="568"/>
  </conditionalFormatting>
  <conditionalFormatting sqref="B684">
    <cfRule type="duplicateValues" dxfId="0" priority="93"/>
  </conditionalFormatting>
  <conditionalFormatting sqref="B687">
    <cfRule type="duplicateValues" dxfId="0" priority="120"/>
  </conditionalFormatting>
  <conditionalFormatting sqref="B689">
    <cfRule type="duplicateValues" dxfId="0" priority="567"/>
  </conditionalFormatting>
  <conditionalFormatting sqref="B698">
    <cfRule type="duplicateValues" dxfId="0" priority="563"/>
  </conditionalFormatting>
  <conditionalFormatting sqref="B699">
    <cfRule type="duplicateValues" dxfId="0" priority="560"/>
  </conditionalFormatting>
  <conditionalFormatting sqref="B700">
    <cfRule type="duplicateValues" dxfId="0" priority="554"/>
  </conditionalFormatting>
  <conditionalFormatting sqref="B701">
    <cfRule type="duplicateValues" dxfId="0" priority="553"/>
  </conditionalFormatting>
  <conditionalFormatting sqref="B702">
    <cfRule type="duplicateValues" dxfId="0" priority="557"/>
  </conditionalFormatting>
  <conditionalFormatting sqref="B711">
    <cfRule type="duplicateValues" dxfId="0" priority="556"/>
  </conditionalFormatting>
  <conditionalFormatting sqref="B717">
    <cfRule type="duplicateValues" dxfId="0" priority="118"/>
  </conditionalFormatting>
  <conditionalFormatting sqref="B718">
    <cfRule type="duplicateValues" dxfId="0" priority="542"/>
  </conditionalFormatting>
  <conditionalFormatting sqref="B719">
    <cfRule type="duplicateValues" dxfId="0" priority="539"/>
  </conditionalFormatting>
  <conditionalFormatting sqref="B720">
    <cfRule type="duplicateValues" dxfId="0" priority="536"/>
  </conditionalFormatting>
  <conditionalFormatting sqref="B721">
    <cfRule type="duplicateValues" dxfId="0" priority="535"/>
  </conditionalFormatting>
  <conditionalFormatting sqref="B725">
    <cfRule type="duplicateValues" dxfId="0" priority="92"/>
  </conditionalFormatting>
  <conditionalFormatting sqref="B727">
    <cfRule type="duplicateValues" dxfId="0" priority="537"/>
  </conditionalFormatting>
  <conditionalFormatting sqref="B729">
    <cfRule type="duplicateValues" dxfId="0" priority="534"/>
  </conditionalFormatting>
  <conditionalFormatting sqref="B730">
    <cfRule type="duplicateValues" dxfId="0" priority="531"/>
  </conditionalFormatting>
  <conditionalFormatting sqref="B736">
    <cfRule type="duplicateValues" dxfId="0" priority="527"/>
  </conditionalFormatting>
  <conditionalFormatting sqref="B741">
    <cfRule type="duplicateValues" dxfId="0" priority="91"/>
  </conditionalFormatting>
  <conditionalFormatting sqref="B743">
    <cfRule type="duplicateValues" dxfId="0" priority="117"/>
  </conditionalFormatting>
  <conditionalFormatting sqref="B745">
    <cfRule type="duplicateValues" dxfId="0" priority="525"/>
  </conditionalFormatting>
  <conditionalFormatting sqref="B757">
    <cfRule type="duplicateValues" dxfId="0" priority="500"/>
  </conditionalFormatting>
  <conditionalFormatting sqref="B758">
    <cfRule type="duplicateValues" dxfId="0" priority="521"/>
  </conditionalFormatting>
  <conditionalFormatting sqref="B759">
    <cfRule type="duplicateValues" dxfId="0" priority="514"/>
  </conditionalFormatting>
  <conditionalFormatting sqref="B760">
    <cfRule type="duplicateValues" dxfId="0" priority="427"/>
  </conditionalFormatting>
  <conditionalFormatting sqref="B761">
    <cfRule type="duplicateValues" dxfId="0" priority="515"/>
  </conditionalFormatting>
  <conditionalFormatting sqref="B762">
    <cfRule type="duplicateValues" dxfId="0" priority="518"/>
  </conditionalFormatting>
  <conditionalFormatting sqref="B763">
    <cfRule type="duplicateValues" dxfId="0" priority="523"/>
  </conditionalFormatting>
  <conditionalFormatting sqref="B765">
    <cfRule type="duplicateValues" dxfId="0" priority="90"/>
  </conditionalFormatting>
  <conditionalFormatting sqref="B766">
    <cfRule type="duplicateValues" dxfId="0" priority="87"/>
  </conditionalFormatting>
  <conditionalFormatting sqref="B768">
    <cfRule type="duplicateValues" dxfId="0" priority="146"/>
  </conditionalFormatting>
  <conditionalFormatting sqref="B769">
    <cfRule type="duplicateValues" dxfId="0" priority="147"/>
  </conditionalFormatting>
  <conditionalFormatting sqref="B774">
    <cfRule type="duplicateValues" dxfId="0" priority="517"/>
  </conditionalFormatting>
  <conditionalFormatting sqref="B780">
    <cfRule type="duplicateValues" dxfId="0" priority="520"/>
  </conditionalFormatting>
  <conditionalFormatting sqref="B781">
    <cfRule type="duplicateValues" dxfId="0" priority="513"/>
  </conditionalFormatting>
  <conditionalFormatting sqref="C781">
    <cfRule type="duplicateValues" dxfId="0" priority="502"/>
  </conditionalFormatting>
  <conditionalFormatting sqref="B782">
    <cfRule type="duplicateValues" dxfId="0" priority="510"/>
  </conditionalFormatting>
  <conditionalFormatting sqref="B787">
    <cfRule type="duplicateValues" dxfId="0" priority="504"/>
  </conditionalFormatting>
  <conditionalFormatting sqref="B788">
    <cfRule type="duplicateValues" dxfId="0" priority="507"/>
  </conditionalFormatting>
  <conditionalFormatting sqref="B794">
    <cfRule type="duplicateValues" dxfId="0" priority="116"/>
  </conditionalFormatting>
  <conditionalFormatting sqref="B796">
    <cfRule type="duplicateValues" dxfId="0" priority="506"/>
  </conditionalFormatting>
  <conditionalFormatting sqref="B804">
    <cfRule type="duplicateValues" dxfId="0" priority="498"/>
  </conditionalFormatting>
  <conditionalFormatting sqref="C804">
    <cfRule type="duplicateValues" dxfId="0" priority="488"/>
  </conditionalFormatting>
  <conditionalFormatting sqref="B805">
    <cfRule type="duplicateValues" dxfId="0" priority="495"/>
  </conditionalFormatting>
  <conditionalFormatting sqref="B809">
    <cfRule type="duplicateValues" dxfId="0" priority="489"/>
  </conditionalFormatting>
  <conditionalFormatting sqref="B810">
    <cfRule type="duplicateValues" dxfId="0" priority="492"/>
  </conditionalFormatting>
  <conditionalFormatting sqref="B817">
    <cfRule type="duplicateValues" dxfId="0" priority="115"/>
  </conditionalFormatting>
  <conditionalFormatting sqref="B819">
    <cfRule type="duplicateValues" dxfId="0" priority="491"/>
  </conditionalFormatting>
  <conditionalFormatting sqref="B834">
    <cfRule type="duplicateValues" dxfId="0" priority="486"/>
  </conditionalFormatting>
  <conditionalFormatting sqref="B835">
    <cfRule type="duplicateValues" dxfId="0" priority="483"/>
  </conditionalFormatting>
  <conditionalFormatting sqref="B839">
    <cfRule type="duplicateValues" dxfId="0" priority="473"/>
  </conditionalFormatting>
  <conditionalFormatting sqref="B840">
    <cfRule type="duplicateValues" dxfId="0" priority="471"/>
  </conditionalFormatting>
  <conditionalFormatting sqref="B841">
    <cfRule type="duplicateValues" dxfId="0" priority="481"/>
  </conditionalFormatting>
  <conditionalFormatting sqref="B842">
    <cfRule type="duplicateValues" dxfId="0" priority="485"/>
  </conditionalFormatting>
  <conditionalFormatting sqref="B843">
    <cfRule type="duplicateValues" dxfId="0" priority="479"/>
  </conditionalFormatting>
  <conditionalFormatting sqref="B848">
    <cfRule type="duplicateValues" dxfId="0" priority="89"/>
  </conditionalFormatting>
  <conditionalFormatting sqref="B851">
    <cfRule type="duplicateValues" dxfId="0" priority="484"/>
  </conditionalFormatting>
  <conditionalFormatting sqref="B852">
    <cfRule type="duplicateValues" dxfId="0" priority="476"/>
  </conditionalFormatting>
  <conditionalFormatting sqref="B853">
    <cfRule type="duplicateValues" dxfId="0" priority="475"/>
  </conditionalFormatting>
  <conditionalFormatting sqref="B854">
    <cfRule type="duplicateValues" dxfId="0" priority="474"/>
  </conditionalFormatting>
  <conditionalFormatting sqref="B855">
    <cfRule type="duplicateValues" dxfId="0" priority="472"/>
  </conditionalFormatting>
  <conditionalFormatting sqref="B856">
    <cfRule type="duplicateValues" dxfId="0" priority="478"/>
  </conditionalFormatting>
  <conditionalFormatting sqref="B859">
    <cfRule type="duplicateValues" dxfId="0" priority="469"/>
  </conditionalFormatting>
  <conditionalFormatting sqref="B860">
    <cfRule type="duplicateValues" dxfId="0" priority="466"/>
  </conditionalFormatting>
  <conditionalFormatting sqref="B868">
    <cfRule type="duplicateValues" dxfId="0" priority="88"/>
  </conditionalFormatting>
  <conditionalFormatting sqref="B869">
    <cfRule type="duplicateValues" dxfId="0" priority="114"/>
  </conditionalFormatting>
  <conditionalFormatting sqref="B871">
    <cfRule type="duplicateValues" dxfId="0" priority="464"/>
  </conditionalFormatting>
  <conditionalFormatting sqref="B876">
    <cfRule type="duplicateValues" dxfId="0" priority="461"/>
  </conditionalFormatting>
  <conditionalFormatting sqref="C876">
    <cfRule type="duplicateValues" dxfId="0" priority="451"/>
  </conditionalFormatting>
  <conditionalFormatting sqref="B877">
    <cfRule type="duplicateValues" dxfId="0" priority="458"/>
  </conditionalFormatting>
  <conditionalFormatting sqref="B881">
    <cfRule type="duplicateValues" dxfId="0" priority="452"/>
  </conditionalFormatting>
  <conditionalFormatting sqref="B892">
    <cfRule type="duplicateValues" dxfId="0" priority="454"/>
  </conditionalFormatting>
  <conditionalFormatting sqref="B906">
    <cfRule type="duplicateValues" dxfId="0" priority="100"/>
  </conditionalFormatting>
  <conditionalFormatting sqref="C906">
    <cfRule type="duplicateValues" dxfId="0" priority="99"/>
  </conditionalFormatting>
  <conditionalFormatting sqref="B910">
    <cfRule type="duplicateValues" dxfId="0" priority="97"/>
  </conditionalFormatting>
  <conditionalFormatting sqref="B911">
    <cfRule type="duplicateValues" dxfId="0" priority="80"/>
  </conditionalFormatting>
  <conditionalFormatting sqref="B912">
    <cfRule type="duplicateValues" dxfId="0" priority="79"/>
  </conditionalFormatting>
  <conditionalFormatting sqref="B913">
    <cfRule type="duplicateValues" dxfId="0" priority="76"/>
  </conditionalFormatting>
  <conditionalFormatting sqref="B916">
    <cfRule type="duplicateValues" dxfId="0" priority="71"/>
  </conditionalFormatting>
  <conditionalFormatting sqref="B918">
    <cfRule type="duplicateValues" dxfId="0" priority="70"/>
  </conditionalFormatting>
  <conditionalFormatting sqref="B925">
    <cfRule type="duplicateValues" dxfId="0" priority="74"/>
  </conditionalFormatting>
  <conditionalFormatting sqref="B926">
    <cfRule type="duplicateValues" dxfId="0" priority="68"/>
  </conditionalFormatting>
  <conditionalFormatting sqref="B933">
    <cfRule type="duplicateValues" dxfId="0" priority="67"/>
  </conditionalFormatting>
  <conditionalFormatting sqref="B934">
    <cfRule type="duplicateValues" dxfId="0" priority="75"/>
  </conditionalFormatting>
  <conditionalFormatting sqref="B935">
    <cfRule type="duplicateValues" dxfId="0" priority="66"/>
  </conditionalFormatting>
  <conditionalFormatting sqref="B936">
    <cfRule type="duplicateValues" dxfId="0" priority="65"/>
  </conditionalFormatting>
  <conditionalFormatting sqref="B941">
    <cfRule type="duplicateValues" dxfId="0" priority="63"/>
  </conditionalFormatting>
  <conditionalFormatting sqref="B942">
    <cfRule type="duplicateValues" dxfId="0" priority="62"/>
  </conditionalFormatting>
  <conditionalFormatting sqref="B943">
    <cfRule type="duplicateValues" dxfId="0" priority="56"/>
  </conditionalFormatting>
  <conditionalFormatting sqref="B949">
    <cfRule type="duplicateValues" dxfId="0" priority="61"/>
  </conditionalFormatting>
  <conditionalFormatting sqref="B950">
    <cfRule type="duplicateValues" dxfId="0" priority="60"/>
  </conditionalFormatting>
  <conditionalFormatting sqref="B954">
    <cfRule type="duplicateValues" dxfId="0" priority="55"/>
  </conditionalFormatting>
  <conditionalFormatting sqref="B955">
    <cfRule type="duplicateValues" dxfId="0" priority="54"/>
  </conditionalFormatting>
  <conditionalFormatting sqref="B961">
    <cfRule type="duplicateValues" dxfId="0" priority="52"/>
  </conditionalFormatting>
  <conditionalFormatting sqref="B962">
    <cfRule type="duplicateValues" dxfId="0" priority="51"/>
  </conditionalFormatting>
  <conditionalFormatting sqref="B963">
    <cfRule type="duplicateValues" dxfId="0" priority="50"/>
  </conditionalFormatting>
  <conditionalFormatting sqref="B964">
    <cfRule type="duplicateValues" dxfId="0" priority="49"/>
  </conditionalFormatting>
  <conditionalFormatting sqref="B965">
    <cfRule type="duplicateValues" dxfId="0" priority="48"/>
  </conditionalFormatting>
  <conditionalFormatting sqref="B966">
    <cfRule type="duplicateValues" dxfId="0" priority="44"/>
  </conditionalFormatting>
  <conditionalFormatting sqref="B967">
    <cfRule type="duplicateValues" dxfId="0" priority="43"/>
  </conditionalFormatting>
  <conditionalFormatting sqref="B968">
    <cfRule type="duplicateValues" dxfId="0" priority="41"/>
  </conditionalFormatting>
  <conditionalFormatting sqref="B969">
    <cfRule type="duplicateValues" dxfId="0" priority="47"/>
  </conditionalFormatting>
  <conditionalFormatting sqref="B970">
    <cfRule type="duplicateValues" dxfId="0" priority="46"/>
  </conditionalFormatting>
  <conditionalFormatting sqref="B971">
    <cfRule type="duplicateValues" dxfId="0" priority="45"/>
  </conditionalFormatting>
  <conditionalFormatting sqref="B972">
    <cfRule type="duplicateValues" dxfId="0" priority="42"/>
  </conditionalFormatting>
  <conditionalFormatting sqref="B973">
    <cfRule type="duplicateValues" dxfId="0" priority="40"/>
  </conditionalFormatting>
  <conditionalFormatting sqref="B974">
    <cfRule type="duplicateValues" dxfId="0" priority="39"/>
  </conditionalFormatting>
  <conditionalFormatting sqref="B975">
    <cfRule type="duplicateValues" dxfId="0" priority="38"/>
  </conditionalFormatting>
  <conditionalFormatting sqref="B976">
    <cfRule type="duplicateValues" dxfId="0" priority="37"/>
  </conditionalFormatting>
  <conditionalFormatting sqref="B977">
    <cfRule type="duplicateValues" dxfId="0" priority="36"/>
  </conditionalFormatting>
  <conditionalFormatting sqref="B978">
    <cfRule type="duplicateValues" dxfId="0" priority="35"/>
  </conditionalFormatting>
  <conditionalFormatting sqref="B979">
    <cfRule type="duplicateValues" dxfId="0" priority="33"/>
  </conditionalFormatting>
  <conditionalFormatting sqref="B984">
    <cfRule type="duplicateValues" dxfId="0" priority="24"/>
  </conditionalFormatting>
  <conditionalFormatting sqref="B985">
    <cfRule type="duplicateValues" dxfId="0" priority="32"/>
  </conditionalFormatting>
  <conditionalFormatting sqref="B986">
    <cfRule type="duplicateValues" dxfId="0" priority="29"/>
  </conditionalFormatting>
  <conditionalFormatting sqref="B987">
    <cfRule type="duplicateValues" dxfId="0" priority="28"/>
  </conditionalFormatting>
  <conditionalFormatting sqref="B988">
    <cfRule type="duplicateValues" dxfId="0" priority="27"/>
  </conditionalFormatting>
  <conditionalFormatting sqref="B989">
    <cfRule type="duplicateValues" dxfId="0" priority="26"/>
  </conditionalFormatting>
  <conditionalFormatting sqref="B990">
    <cfRule type="duplicateValues" dxfId="0" priority="31"/>
  </conditionalFormatting>
  <conditionalFormatting sqref="B991">
    <cfRule type="duplicateValues" dxfId="0" priority="7"/>
  </conditionalFormatting>
  <conditionalFormatting sqref="B992">
    <cfRule type="duplicateValues" dxfId="0" priority="25"/>
  </conditionalFormatting>
  <conditionalFormatting sqref="B996">
    <cfRule type="duplicateValues" dxfId="0" priority="23"/>
  </conditionalFormatting>
  <conditionalFormatting sqref="B997">
    <cfRule type="duplicateValues" dxfId="0" priority="22"/>
  </conditionalFormatting>
  <conditionalFormatting sqref="B998">
    <cfRule type="duplicateValues" dxfId="0" priority="20"/>
  </conditionalFormatting>
  <conditionalFormatting sqref="B999">
    <cfRule type="duplicateValues" dxfId="0" priority="19"/>
  </conditionalFormatting>
  <conditionalFormatting sqref="B1000">
    <cfRule type="duplicateValues" dxfId="0" priority="21"/>
  </conditionalFormatting>
  <conditionalFormatting sqref="B1005">
    <cfRule type="duplicateValues" dxfId="0" priority="10"/>
  </conditionalFormatting>
  <conditionalFormatting sqref="B1006">
    <cfRule type="duplicateValues" dxfId="0" priority="9"/>
  </conditionalFormatting>
  <conditionalFormatting sqref="B1016">
    <cfRule type="duplicateValues" dxfId="0" priority="16"/>
  </conditionalFormatting>
  <conditionalFormatting sqref="B1017">
    <cfRule type="duplicateValues" dxfId="0" priority="13"/>
  </conditionalFormatting>
  <conditionalFormatting sqref="B1018">
    <cfRule type="duplicateValues" dxfId="0" priority="11"/>
  </conditionalFormatting>
  <conditionalFormatting sqref="B1019">
    <cfRule type="duplicateValues" dxfId="0" priority="12"/>
  </conditionalFormatting>
  <conditionalFormatting sqref="B1032">
    <cfRule type="duplicateValues" dxfId="0" priority="4"/>
  </conditionalFormatting>
  <conditionalFormatting sqref="C1032">
    <cfRule type="duplicateValues" dxfId="0" priority="3"/>
  </conditionalFormatting>
  <conditionalFormatting sqref="B1038">
    <cfRule type="duplicateValues" dxfId="0" priority="1293"/>
  </conditionalFormatting>
  <conditionalFormatting sqref="B30:B32">
    <cfRule type="duplicateValues" dxfId="0" priority="444"/>
  </conditionalFormatting>
  <conditionalFormatting sqref="B34:B36">
    <cfRule type="duplicateValues" dxfId="0" priority="445"/>
  </conditionalFormatting>
  <conditionalFormatting sqref="B39:B41">
    <cfRule type="duplicateValues" dxfId="0" priority="431"/>
  </conditionalFormatting>
  <conditionalFormatting sqref="B44:B45">
    <cfRule type="duplicateValues" dxfId="0" priority="241"/>
  </conditionalFormatting>
  <conditionalFormatting sqref="B49:B50">
    <cfRule type="duplicateValues" dxfId="0" priority="237"/>
  </conditionalFormatting>
  <conditionalFormatting sqref="B52:B53">
    <cfRule type="duplicateValues" dxfId="0" priority="432"/>
  </conditionalFormatting>
  <conditionalFormatting sqref="B55:B57">
    <cfRule type="duplicateValues" dxfId="0" priority="433"/>
  </conditionalFormatting>
  <conditionalFormatting sqref="B59:B60">
    <cfRule type="duplicateValues" dxfId="0" priority="231"/>
  </conditionalFormatting>
  <conditionalFormatting sqref="B66:B67">
    <cfRule type="duplicateValues" dxfId="0" priority="236"/>
  </conditionalFormatting>
  <conditionalFormatting sqref="B69:B70">
    <cfRule type="duplicateValues" dxfId="0" priority="234"/>
  </conditionalFormatting>
  <conditionalFormatting sqref="B72:B73">
    <cfRule type="duplicateValues" dxfId="0" priority="232"/>
  </conditionalFormatting>
  <conditionalFormatting sqref="B75:B76">
    <cfRule type="duplicateValues" dxfId="0" priority="418"/>
  </conditionalFormatting>
  <conditionalFormatting sqref="B78:B80">
    <cfRule type="duplicateValues" dxfId="0" priority="419"/>
  </conditionalFormatting>
  <conditionalFormatting sqref="B82:B83">
    <cfRule type="duplicateValues" dxfId="0" priority="420"/>
  </conditionalFormatting>
  <conditionalFormatting sqref="B86:B88">
    <cfRule type="duplicateValues" dxfId="0" priority="406"/>
  </conditionalFormatting>
  <conditionalFormatting sqref="B103:B105">
    <cfRule type="duplicateValues" dxfId="0" priority="408"/>
  </conditionalFormatting>
  <conditionalFormatting sqref="B107:B108">
    <cfRule type="duplicateValues" dxfId="0" priority="225"/>
  </conditionalFormatting>
  <conditionalFormatting sqref="B113:B114">
    <cfRule type="duplicateValues" dxfId="0" priority="395"/>
  </conditionalFormatting>
  <conditionalFormatting sqref="B128:B130">
    <cfRule type="duplicateValues" dxfId="0" priority="384"/>
  </conditionalFormatting>
  <conditionalFormatting sqref="B133:B134">
    <cfRule type="duplicateValues" dxfId="0" priority="220"/>
  </conditionalFormatting>
  <conditionalFormatting sqref="B135:B137">
    <cfRule type="duplicateValues" dxfId="0" priority="219"/>
  </conditionalFormatting>
  <conditionalFormatting sqref="B139:B140">
    <cfRule type="duplicateValues" dxfId="0" priority="217"/>
  </conditionalFormatting>
  <conditionalFormatting sqref="B142:B145">
    <cfRule type="duplicateValues" dxfId="0" priority="385"/>
  </conditionalFormatting>
  <conditionalFormatting sqref="B156:B157">
    <cfRule type="duplicateValues" dxfId="0" priority="216"/>
  </conditionalFormatting>
  <conditionalFormatting sqref="B159:B160">
    <cfRule type="duplicateValues" dxfId="0" priority="213"/>
  </conditionalFormatting>
  <conditionalFormatting sqref="B172:B173">
    <cfRule type="duplicateValues" dxfId="0" priority="362"/>
  </conditionalFormatting>
  <conditionalFormatting sqref="B175:B176">
    <cfRule type="duplicateValues" dxfId="0" priority="211"/>
  </conditionalFormatting>
  <conditionalFormatting sqref="B179:B181">
    <cfRule type="duplicateValues" dxfId="0" priority="209"/>
  </conditionalFormatting>
  <conditionalFormatting sqref="B183:B184">
    <cfRule type="duplicateValues" dxfId="0" priority="206"/>
  </conditionalFormatting>
  <conditionalFormatting sqref="B186:B188">
    <cfRule type="duplicateValues" dxfId="0" priority="364"/>
  </conditionalFormatting>
  <conditionalFormatting sqref="B202:B203">
    <cfRule type="duplicateValues" dxfId="0" priority="202"/>
  </conditionalFormatting>
  <conditionalFormatting sqref="B210:B212">
    <cfRule type="duplicateValues" dxfId="0" priority="339"/>
  </conditionalFormatting>
  <conditionalFormatting sqref="B214:B215">
    <cfRule type="duplicateValues" dxfId="0" priority="335"/>
  </conditionalFormatting>
  <conditionalFormatting sqref="B217:B219">
    <cfRule type="duplicateValues" dxfId="0" priority="348"/>
  </conditionalFormatting>
  <conditionalFormatting sqref="B221:B222">
    <cfRule type="duplicateValues" dxfId="0" priority="344"/>
  </conditionalFormatting>
  <conditionalFormatting sqref="B227:B229">
    <cfRule type="duplicateValues" dxfId="0" priority="328"/>
  </conditionalFormatting>
  <conditionalFormatting sqref="B231:B232">
    <cfRule type="duplicateValues" dxfId="0" priority="333"/>
  </conditionalFormatting>
  <conditionalFormatting sqref="B237:B239">
    <cfRule type="duplicateValues" dxfId="0" priority="329"/>
  </conditionalFormatting>
  <conditionalFormatting sqref="B245:B246">
    <cfRule type="duplicateValues" dxfId="0" priority="318"/>
  </conditionalFormatting>
  <conditionalFormatting sqref="B247:B248">
    <cfRule type="duplicateValues" dxfId="0" priority="317"/>
  </conditionalFormatting>
  <conditionalFormatting sqref="B260:B262">
    <cfRule type="duplicateValues" dxfId="0" priority="319"/>
  </conditionalFormatting>
  <conditionalFormatting sqref="B270:B271">
    <cfRule type="duplicateValues" dxfId="0" priority="308"/>
  </conditionalFormatting>
  <conditionalFormatting sqref="B272:B273">
    <cfRule type="duplicateValues" dxfId="0" priority="307"/>
  </conditionalFormatting>
  <conditionalFormatting sqref="B275:B277">
    <cfRule type="duplicateValues" dxfId="0" priority="189"/>
  </conditionalFormatting>
  <conditionalFormatting sqref="B279:B280">
    <cfRule type="duplicateValues" dxfId="0" priority="188"/>
  </conditionalFormatting>
  <conditionalFormatting sqref="B282:B285">
    <cfRule type="duplicateValues" dxfId="0" priority="309"/>
  </conditionalFormatting>
  <conditionalFormatting sqref="B291:B292">
    <cfRule type="duplicateValues" dxfId="0" priority="298"/>
  </conditionalFormatting>
  <conditionalFormatting sqref="B298:B299">
    <cfRule type="duplicateValues" dxfId="0" priority="183"/>
  </conditionalFormatting>
  <conditionalFormatting sqref="B307:B309">
    <cfRule type="duplicateValues" dxfId="0" priority="288"/>
  </conditionalFormatting>
  <conditionalFormatting sqref="B323:B325">
    <cfRule type="duplicateValues" dxfId="0" priority="289"/>
  </conditionalFormatting>
  <conditionalFormatting sqref="B332:B334">
    <cfRule type="duplicateValues" dxfId="0" priority="106"/>
  </conditionalFormatting>
  <conditionalFormatting sqref="B339:B342">
    <cfRule type="duplicateValues" dxfId="0" priority="278"/>
  </conditionalFormatting>
  <conditionalFormatting sqref="B344:B350">
    <cfRule type="duplicateValues" dxfId="0" priority="283"/>
  </conditionalFormatting>
  <conditionalFormatting sqref="B355:B356">
    <cfRule type="duplicateValues" dxfId="0" priority="175"/>
  </conditionalFormatting>
  <conditionalFormatting sqref="B358:B360">
    <cfRule type="duplicateValues" dxfId="0" priority="279"/>
  </conditionalFormatting>
  <conditionalFormatting sqref="B366:B369">
    <cfRule type="duplicateValues" dxfId="0" priority="268"/>
  </conditionalFormatting>
  <conditionalFormatting sqref="B372:B377">
    <cfRule type="duplicateValues" dxfId="0" priority="170"/>
  </conditionalFormatting>
  <conditionalFormatting sqref="B385:B387">
    <cfRule type="duplicateValues" dxfId="0" priority="269"/>
  </conditionalFormatting>
  <conditionalFormatting sqref="B393:B396">
    <cfRule type="duplicateValues" dxfId="0" priority="258"/>
  </conditionalFormatting>
  <conditionalFormatting sqref="B399:B404">
    <cfRule type="duplicateValues" dxfId="0" priority="163"/>
  </conditionalFormatting>
  <conditionalFormatting sqref="B412:B414">
    <cfRule type="duplicateValues" dxfId="0" priority="259"/>
  </conditionalFormatting>
  <conditionalFormatting sqref="B420:B423">
    <cfRule type="duplicateValues" dxfId="0" priority="248"/>
  </conditionalFormatting>
  <conditionalFormatting sqref="B426:B431">
    <cfRule type="duplicateValues" dxfId="0" priority="156"/>
  </conditionalFormatting>
  <conditionalFormatting sqref="B439:B441">
    <cfRule type="duplicateValues" dxfId="0" priority="249"/>
  </conditionalFormatting>
  <conditionalFormatting sqref="B446:B447">
    <cfRule type="duplicateValues" dxfId="0" priority="102"/>
  </conditionalFormatting>
  <conditionalFormatting sqref="B455:B456">
    <cfRule type="duplicateValues" dxfId="0" priority="664"/>
  </conditionalFormatting>
  <conditionalFormatting sqref="B458:B466">
    <cfRule type="duplicateValues" dxfId="0" priority="1536"/>
  </conditionalFormatting>
  <conditionalFormatting sqref="B470:B473">
    <cfRule type="duplicateValues" dxfId="0" priority="1286"/>
  </conditionalFormatting>
  <conditionalFormatting sqref="B474:B475">
    <cfRule type="duplicateValues" dxfId="0" priority="1287"/>
  </conditionalFormatting>
  <conditionalFormatting sqref="B477:B478">
    <cfRule type="duplicateValues" dxfId="0" priority="1289"/>
  </conditionalFormatting>
  <conditionalFormatting sqref="B485:B490">
    <cfRule type="duplicateValues" dxfId="0" priority="662"/>
  </conditionalFormatting>
  <conditionalFormatting sqref="B492:B493">
    <cfRule type="duplicateValues" dxfId="0" priority="658"/>
  </conditionalFormatting>
  <conditionalFormatting sqref="B494:B496">
    <cfRule type="duplicateValues" dxfId="0" priority="656"/>
  </conditionalFormatting>
  <conditionalFormatting sqref="B510:B512">
    <cfRule type="duplicateValues" dxfId="0" priority="1285"/>
  </conditionalFormatting>
  <conditionalFormatting sqref="B518:B524">
    <cfRule type="duplicateValues" dxfId="0" priority="1279"/>
  </conditionalFormatting>
  <conditionalFormatting sqref="B531:B535">
    <cfRule type="duplicateValues" dxfId="0" priority="1271"/>
  </conditionalFormatting>
  <conditionalFormatting sqref="B539:B541">
    <cfRule type="duplicateValues" dxfId="0" priority="632"/>
  </conditionalFormatting>
  <conditionalFormatting sqref="B542:B552">
    <cfRule type="duplicateValues" dxfId="0" priority="637"/>
  </conditionalFormatting>
  <conditionalFormatting sqref="B556:B557">
    <cfRule type="duplicateValues" dxfId="0" priority="629"/>
  </conditionalFormatting>
  <conditionalFormatting sqref="B558:B562">
    <cfRule type="duplicateValues" dxfId="0" priority="633"/>
  </conditionalFormatting>
  <conditionalFormatting sqref="B567:B571">
    <cfRule type="duplicateValues" dxfId="0" priority="634"/>
  </conditionalFormatting>
  <conditionalFormatting sqref="B577:B579">
    <cfRule type="duplicateValues" dxfId="0" priority="627"/>
  </conditionalFormatting>
  <conditionalFormatting sqref="B584:B588">
    <cfRule type="duplicateValues" dxfId="0" priority="623"/>
  </conditionalFormatting>
  <conditionalFormatting sqref="B596:B599">
    <cfRule type="duplicateValues" dxfId="0" priority="616"/>
  </conditionalFormatting>
  <conditionalFormatting sqref="B601:B602">
    <cfRule type="duplicateValues" dxfId="0" priority="610"/>
  </conditionalFormatting>
  <conditionalFormatting sqref="B603:B605">
    <cfRule type="duplicateValues" dxfId="0" priority="612"/>
  </conditionalFormatting>
  <conditionalFormatting sqref="B612:B613">
    <cfRule type="duplicateValues" dxfId="0" priority="587"/>
  </conditionalFormatting>
  <conditionalFormatting sqref="B615:B617">
    <cfRule type="duplicateValues" dxfId="0" priority="605"/>
  </conditionalFormatting>
  <conditionalFormatting sqref="B621:B625">
    <cfRule type="duplicateValues" dxfId="0" priority="601"/>
  </conditionalFormatting>
  <conditionalFormatting sqref="B632:B633">
    <cfRule type="duplicateValues" dxfId="0" priority="588"/>
  </conditionalFormatting>
  <conditionalFormatting sqref="B642:B646">
    <cfRule type="duplicateValues" dxfId="0" priority="592"/>
  </conditionalFormatting>
  <conditionalFormatting sqref="B667:B670">
    <cfRule type="duplicateValues" dxfId="0" priority="580"/>
  </conditionalFormatting>
  <conditionalFormatting sqref="B690:B693">
    <cfRule type="duplicateValues" dxfId="0" priority="569"/>
  </conditionalFormatting>
  <conditionalFormatting sqref="B695:B697">
    <cfRule type="duplicateValues" dxfId="0" priority="570"/>
  </conditionalFormatting>
  <conditionalFormatting sqref="B703:B709">
    <cfRule type="duplicateValues" dxfId="0" priority="562"/>
  </conditionalFormatting>
  <conditionalFormatting sqref="B712:B715">
    <cfRule type="duplicateValues" dxfId="0" priority="558"/>
  </conditionalFormatting>
  <conditionalFormatting sqref="B722:B724">
    <cfRule type="duplicateValues" dxfId="0" priority="541"/>
  </conditionalFormatting>
  <conditionalFormatting sqref="B731:B735">
    <cfRule type="duplicateValues" dxfId="0" priority="528"/>
  </conditionalFormatting>
  <conditionalFormatting sqref="B746:B751">
    <cfRule type="duplicateValues" dxfId="0" priority="526"/>
  </conditionalFormatting>
  <conditionalFormatting sqref="B754:B756">
    <cfRule type="duplicateValues" dxfId="0" priority="530"/>
  </conditionalFormatting>
  <conditionalFormatting sqref="B775:B778">
    <cfRule type="duplicateValues" dxfId="0" priority="519"/>
  </conditionalFormatting>
  <conditionalFormatting sqref="B783:B786">
    <cfRule type="duplicateValues" dxfId="0" priority="505"/>
  </conditionalFormatting>
  <conditionalFormatting sqref="B789:B793">
    <cfRule type="duplicateValues" dxfId="0" priority="512"/>
  </conditionalFormatting>
  <conditionalFormatting sqref="B797:B798">
    <cfRule type="duplicateValues" dxfId="0" priority="499"/>
  </conditionalFormatting>
  <conditionalFormatting sqref="B799:B802">
    <cfRule type="duplicateValues" dxfId="0" priority="508"/>
  </conditionalFormatting>
  <conditionalFormatting sqref="B806:B808">
    <cfRule type="duplicateValues" dxfId="0" priority="490"/>
  </conditionalFormatting>
  <conditionalFormatting sqref="B811:B816">
    <cfRule type="duplicateValues" dxfId="0" priority="497"/>
  </conditionalFormatting>
  <conditionalFormatting sqref="B820:B821">
    <cfRule type="duplicateValues" dxfId="0" priority="487"/>
  </conditionalFormatting>
  <conditionalFormatting sqref="B822:B825">
    <cfRule type="duplicateValues" dxfId="0" priority="493"/>
  </conditionalFormatting>
  <conditionalFormatting sqref="B827:B833">
    <cfRule type="duplicateValues" dxfId="0" priority="494"/>
  </conditionalFormatting>
  <conditionalFormatting sqref="B836:B838">
    <cfRule type="duplicateValues" dxfId="0" priority="482"/>
  </conditionalFormatting>
  <conditionalFormatting sqref="B857:B858">
    <cfRule type="duplicateValues" dxfId="0" priority="477"/>
  </conditionalFormatting>
  <conditionalFormatting sqref="B861:B863">
    <cfRule type="duplicateValues" dxfId="0" priority="462"/>
  </conditionalFormatting>
  <conditionalFormatting sqref="B864:B867">
    <cfRule type="duplicateValues" dxfId="0" priority="468"/>
  </conditionalFormatting>
  <conditionalFormatting sqref="B873:B875">
    <cfRule type="duplicateValues" dxfId="0" priority="465"/>
  </conditionalFormatting>
  <conditionalFormatting sqref="B878:B880">
    <cfRule type="duplicateValues" dxfId="0" priority="453"/>
  </conditionalFormatting>
  <conditionalFormatting sqref="B883:B885">
    <cfRule type="duplicateValues" dxfId="0" priority="149"/>
  </conditionalFormatting>
  <conditionalFormatting sqref="B893:B896">
    <cfRule type="duplicateValues" dxfId="0" priority="450"/>
  </conditionalFormatting>
  <conditionalFormatting sqref="B897:B901">
    <cfRule type="duplicateValues" dxfId="0" priority="456"/>
  </conditionalFormatting>
  <conditionalFormatting sqref="B904:B905">
    <cfRule type="duplicateValues" dxfId="0" priority="457"/>
  </conditionalFormatting>
  <conditionalFormatting sqref="B907:B909">
    <cfRule type="duplicateValues" dxfId="0" priority="98"/>
  </conditionalFormatting>
  <conditionalFormatting sqref="B914:B915">
    <cfRule type="duplicateValues" dxfId="0" priority="72"/>
  </conditionalFormatting>
  <conditionalFormatting sqref="B919:B920">
    <cfRule type="duplicateValues" dxfId="0" priority="73"/>
  </conditionalFormatting>
  <conditionalFormatting sqref="B927:B930">
    <cfRule type="duplicateValues" dxfId="0" priority="69"/>
  </conditionalFormatting>
  <conditionalFormatting sqref="B937:B940">
    <cfRule type="duplicateValues" dxfId="0" priority="64"/>
  </conditionalFormatting>
  <conditionalFormatting sqref="B944:B945">
    <cfRule type="duplicateValues" dxfId="0" priority="57"/>
  </conditionalFormatting>
  <conditionalFormatting sqref="B946:B948">
    <cfRule type="duplicateValues" dxfId="0" priority="58"/>
  </conditionalFormatting>
  <conditionalFormatting sqref="B951:B953">
    <cfRule type="duplicateValues" dxfId="0" priority="59"/>
  </conditionalFormatting>
  <conditionalFormatting sqref="B956:B960">
    <cfRule type="duplicateValues" dxfId="0" priority="53"/>
  </conditionalFormatting>
  <conditionalFormatting sqref="B980:B983">
    <cfRule type="duplicateValues" dxfId="0" priority="34"/>
  </conditionalFormatting>
  <conditionalFormatting sqref="B993:B995">
    <cfRule type="duplicateValues" dxfId="0" priority="30"/>
  </conditionalFormatting>
  <conditionalFormatting sqref="B1009:B1010">
    <cfRule type="duplicateValues" dxfId="0" priority="5"/>
  </conditionalFormatting>
  <conditionalFormatting sqref="B1020:B1022">
    <cfRule type="duplicateValues" dxfId="0" priority="14"/>
  </conditionalFormatting>
  <conditionalFormatting sqref="B1023:B1024">
    <cfRule type="duplicateValues" dxfId="0" priority="15"/>
  </conditionalFormatting>
  <conditionalFormatting sqref="B1026:B1029">
    <cfRule type="duplicateValues" dxfId="0" priority="8"/>
  </conditionalFormatting>
  <conditionalFormatting sqref="B1030:B1031">
    <cfRule type="duplicateValues" dxfId="0" priority="6"/>
  </conditionalFormatting>
  <conditionalFormatting sqref="B1033:B1035">
    <cfRule type="duplicateValues" dxfId="0" priority="2"/>
  </conditionalFormatting>
  <conditionalFormatting sqref="B1036:B1037">
    <cfRule type="duplicateValues" dxfId="0" priority="1"/>
  </conditionalFormatting>
  <conditionalFormatting sqref="B2 B4 B448:B449">
    <cfRule type="duplicateValues" dxfId="0" priority="1548"/>
  </conditionalFormatting>
  <conditionalFormatting sqref="B7 B9">
    <cfRule type="duplicateValues" dxfId="0" priority="442"/>
  </conditionalFormatting>
  <conditionalFormatting sqref="B12:B16 B18:B19 B21 B23:B26">
    <cfRule type="duplicateValues" dxfId="0" priority="448"/>
  </conditionalFormatting>
  <conditionalFormatting sqref="B27 B33">
    <cfRule type="duplicateValues" dxfId="0" priority="447"/>
  </conditionalFormatting>
  <conditionalFormatting sqref="B51 B58">
    <cfRule type="duplicateValues" dxfId="0" priority="436"/>
  </conditionalFormatting>
  <conditionalFormatting sqref="B74 B81">
    <cfRule type="duplicateValues" dxfId="0" priority="422"/>
  </conditionalFormatting>
  <conditionalFormatting sqref="B91:B94 B97:B99">
    <cfRule type="duplicateValues" dxfId="0" priority="230"/>
  </conditionalFormatting>
  <conditionalFormatting sqref="B100 B106">
    <cfRule type="duplicateValues" dxfId="0" priority="411"/>
  </conditionalFormatting>
  <conditionalFormatting sqref="B117 B119">
    <cfRule type="duplicateValues" dxfId="0" priority="223"/>
  </conditionalFormatting>
  <conditionalFormatting sqref="B120 B124">
    <cfRule type="duplicateValues" dxfId="0" priority="400"/>
  </conditionalFormatting>
  <conditionalFormatting sqref="B141 B148">
    <cfRule type="duplicateValues" dxfId="0" priority="389"/>
  </conditionalFormatting>
  <conditionalFormatting sqref="B161 B164 B168">
    <cfRule type="duplicateValues" dxfId="0" priority="378"/>
  </conditionalFormatting>
  <conditionalFormatting sqref="B185 B190">
    <cfRule type="duplicateValues" dxfId="0" priority="367"/>
  </conditionalFormatting>
  <conditionalFormatting sqref="B191 B193:B194">
    <cfRule type="duplicateValues" dxfId="0" priority="204"/>
  </conditionalFormatting>
  <conditionalFormatting sqref="B204 B207">
    <cfRule type="duplicateValues" dxfId="0" priority="357"/>
  </conditionalFormatting>
  <conditionalFormatting sqref="B220 B224">
    <cfRule type="duplicateValues" dxfId="0" priority="347"/>
  </conditionalFormatting>
  <conditionalFormatting sqref="B236 B241">
    <cfRule type="duplicateValues" dxfId="0" priority="332"/>
  </conditionalFormatting>
  <conditionalFormatting sqref="B250:B253 B256:B258">
    <cfRule type="duplicateValues" dxfId="0" priority="195"/>
  </conditionalFormatting>
  <conditionalFormatting sqref="B259 B264">
    <cfRule type="duplicateValues" dxfId="0" priority="322"/>
  </conditionalFormatting>
  <conditionalFormatting sqref="B281 B287">
    <cfRule type="duplicateValues" dxfId="0" priority="312"/>
  </conditionalFormatting>
  <conditionalFormatting sqref="B300 B303">
    <cfRule type="duplicateValues" dxfId="0" priority="302"/>
  </conditionalFormatting>
  <conditionalFormatting sqref="B312:B316 B319:B321">
    <cfRule type="duplicateValues" dxfId="0" priority="181"/>
  </conditionalFormatting>
  <conditionalFormatting sqref="B322 B327">
    <cfRule type="duplicateValues" dxfId="0" priority="292"/>
  </conditionalFormatting>
  <conditionalFormatting sqref="B328:B330 B336">
    <cfRule type="duplicateValues" dxfId="0" priority="177"/>
  </conditionalFormatting>
  <conditionalFormatting sqref="B357 B362">
    <cfRule type="duplicateValues" dxfId="0" priority="282"/>
  </conditionalFormatting>
  <conditionalFormatting sqref="B384 B389">
    <cfRule type="duplicateValues" dxfId="0" priority="272"/>
  </conditionalFormatting>
  <conditionalFormatting sqref="B411 B416">
    <cfRule type="duplicateValues" dxfId="0" priority="262"/>
  </conditionalFormatting>
  <conditionalFormatting sqref="B438 B443">
    <cfRule type="duplicateValues" dxfId="0" priority="252"/>
  </conditionalFormatting>
  <conditionalFormatting sqref="B450:B452 B457">
    <cfRule type="duplicateValues" dxfId="0" priority="1530"/>
  </conditionalFormatting>
  <conditionalFormatting sqref="B467 B476">
    <cfRule type="duplicateValues" dxfId="0" priority="1533"/>
  </conditionalFormatting>
  <conditionalFormatting sqref="B480 B484">
    <cfRule type="duplicateValues" dxfId="0" priority="660"/>
  </conditionalFormatting>
  <conditionalFormatting sqref="B491 B498">
    <cfRule type="duplicateValues" dxfId="0" priority="661"/>
  </conditionalFormatting>
  <conditionalFormatting sqref="B505 B507">
    <cfRule type="duplicateValues" dxfId="0" priority="649"/>
  </conditionalFormatting>
  <conditionalFormatting sqref="B554 B564">
    <cfRule type="duplicateValues" dxfId="0" priority="636"/>
  </conditionalFormatting>
  <conditionalFormatting sqref="B574 B576">
    <cfRule type="duplicateValues" dxfId="0" priority="622"/>
  </conditionalFormatting>
  <conditionalFormatting sqref="B582 B589">
    <cfRule type="duplicateValues" dxfId="0" priority="626"/>
  </conditionalFormatting>
  <conditionalFormatting sqref="B593 B595">
    <cfRule type="duplicateValues" dxfId="0" priority="611"/>
  </conditionalFormatting>
  <conditionalFormatting sqref="B600 B606">
    <cfRule type="duplicateValues" dxfId="0" priority="615"/>
  </conditionalFormatting>
  <conditionalFormatting sqref="B610 B614">
    <cfRule type="duplicateValues" dxfId="0" priority="600"/>
  </conditionalFormatting>
  <conditionalFormatting sqref="B630 B634">
    <cfRule type="duplicateValues" dxfId="0" priority="591"/>
  </conditionalFormatting>
  <conditionalFormatting sqref="B636 B638">
    <cfRule type="duplicateValues" dxfId="0" priority="596"/>
  </conditionalFormatting>
  <conditionalFormatting sqref="B640 B647">
    <cfRule type="duplicateValues" dxfId="0" priority="595"/>
  </conditionalFormatting>
  <conditionalFormatting sqref="B656 B659 B662:B664">
    <cfRule type="duplicateValues" dxfId="0" priority="145"/>
  </conditionalFormatting>
  <conditionalFormatting sqref="B665 B671">
    <cfRule type="duplicateValues" dxfId="0" priority="583"/>
  </conditionalFormatting>
  <conditionalFormatting sqref="B679:B683 B685:B686">
    <cfRule type="duplicateValues" dxfId="0" priority="573"/>
  </conditionalFormatting>
  <conditionalFormatting sqref="B688 B694">
    <cfRule type="duplicateValues" dxfId="0" priority="572"/>
  </conditionalFormatting>
  <conditionalFormatting sqref="B710 B716">
    <cfRule type="duplicateValues" dxfId="0" priority="561"/>
  </conditionalFormatting>
  <conditionalFormatting sqref="B726 B728">
    <cfRule type="duplicateValues" dxfId="0" priority="540"/>
  </conditionalFormatting>
  <conditionalFormatting sqref="B737:B740 B742">
    <cfRule type="duplicateValues" dxfId="0" priority="533"/>
  </conditionalFormatting>
  <conditionalFormatting sqref="B744 B752:B753">
    <cfRule type="duplicateValues" dxfId="0" priority="532"/>
  </conditionalFormatting>
  <conditionalFormatting sqref="B764 B767 B770:B772">
    <cfRule type="duplicateValues" dxfId="0" priority="148"/>
  </conditionalFormatting>
  <conditionalFormatting sqref="B773 B779">
    <cfRule type="duplicateValues" dxfId="0" priority="522"/>
  </conditionalFormatting>
  <conditionalFormatting sqref="B795 B803">
    <cfRule type="duplicateValues" dxfId="0" priority="511"/>
  </conditionalFormatting>
  <conditionalFormatting sqref="B818 B826">
    <cfRule type="duplicateValues" dxfId="0" priority="496"/>
  </conditionalFormatting>
  <conditionalFormatting sqref="B844:B847 B849:B850">
    <cfRule type="duplicateValues" dxfId="0" priority="480"/>
  </conditionalFormatting>
  <conditionalFormatting sqref="B870 B872">
    <cfRule type="duplicateValues" dxfId="0" priority="467"/>
  </conditionalFormatting>
  <conditionalFormatting sqref="B882 B886:B890">
    <cfRule type="duplicateValues" dxfId="0" priority="460"/>
  </conditionalFormatting>
  <conditionalFormatting sqref="B891 B902:B903">
    <cfRule type="duplicateValues" dxfId="0" priority="459"/>
  </conditionalFormatting>
  <conditionalFormatting sqref="B917 B921:B923">
    <cfRule type="duplicateValues" dxfId="0" priority="78"/>
  </conditionalFormatting>
  <conditionalFormatting sqref="B924 B931:B932">
    <cfRule type="duplicateValues" dxfId="0" priority="77"/>
  </conditionalFormatting>
  <conditionalFormatting sqref="B1001:B1004 B1007:B1008 B1011:B1014">
    <cfRule type="duplicateValues" dxfId="0" priority="18"/>
  </conditionalFormatting>
  <conditionalFormatting sqref="B1015 B1025">
    <cfRule type="duplicateValues" dxfId="0" priority="17"/>
  </conditionalFormatting>
  <printOptions horizontalCentered="1"/>
  <pageMargins left="0.472222222222222" right="0.472222222222222" top="0.590277777777778" bottom="0.590277777777778" header="0.393055555555556" footer="0.393055555555556"/>
  <pageSetup paperSize="9" scale="82" fitToHeight="0" orientation="landscape" blackAndWhite="1" horizontalDpi="600"/>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AJ44"/>
  <sheetViews>
    <sheetView view="pageBreakPreview" zoomScaleNormal="100" workbookViewId="0">
      <pane xSplit="4" ySplit="3" topLeftCell="E5" activePane="bottomRight" state="frozen"/>
      <selection/>
      <selection pane="topRight"/>
      <selection pane="bottomLeft"/>
      <selection pane="bottomRight" activeCell="I3" sqref="I3"/>
    </sheetView>
  </sheetViews>
  <sheetFormatPr defaultColWidth="10" defaultRowHeight="12"/>
  <cols>
    <col min="1" max="1" width="6.98333333333333" style="1" customWidth="1"/>
    <col min="2" max="2" width="16.5" style="3" customWidth="1"/>
    <col min="3" max="3" width="37.875" style="1" customWidth="1"/>
    <col min="4" max="4" width="5.63333333333333" style="120" customWidth="1"/>
    <col min="5" max="5" width="12.3833333333333" style="121" customWidth="1"/>
    <col min="6" max="9" width="12.3833333333333" style="121" customWidth="1" outlineLevel="1"/>
    <col min="10" max="10" width="12.6333333333333" style="121" customWidth="1"/>
    <col min="11" max="11" width="15.1333333333333" style="122" customWidth="1"/>
    <col min="12" max="12" width="11.5" style="6" customWidth="1"/>
    <col min="13" max="13" width="5.38333333333333" style="124" customWidth="1"/>
    <col min="14" max="14" width="12.5" style="124" customWidth="1"/>
    <col min="15" max="17" width="10" style="124" customWidth="1"/>
    <col min="18" max="18" width="10" style="125" customWidth="1"/>
    <col min="19" max="36" width="10" style="124" customWidth="1"/>
    <col min="37" max="16384" width="10" style="1" customWidth="1"/>
  </cols>
  <sheetData>
    <row r="1" s="1" customFormat="1" ht="26" customHeight="1" spans="1:36">
      <c r="A1" s="7" t="s">
        <v>40</v>
      </c>
      <c r="M1" s="124"/>
      <c r="N1" s="124"/>
      <c r="O1" s="124"/>
      <c r="P1" s="38"/>
      <c r="Q1" s="37">
        <f>地上装修工程!$Q$1</f>
        <v>1</v>
      </c>
      <c r="R1" s="127"/>
      <c r="S1" s="37">
        <f>地上装修工程!$S$1</f>
        <v>1</v>
      </c>
      <c r="T1" s="37">
        <f>地上装修工程!$T$1</f>
        <v>1</v>
      </c>
      <c r="U1" s="38"/>
      <c r="V1" s="38"/>
      <c r="W1" s="124"/>
      <c r="X1" s="124"/>
      <c r="Y1" s="124"/>
      <c r="Z1" s="124"/>
      <c r="AA1" s="124"/>
      <c r="AB1" s="124"/>
      <c r="AC1" s="124"/>
      <c r="AD1" s="124"/>
      <c r="AE1" s="124"/>
      <c r="AF1" s="124"/>
      <c r="AG1" s="124"/>
      <c r="AH1" s="124"/>
      <c r="AI1" s="124"/>
      <c r="AJ1" s="124"/>
    </row>
    <row r="2" s="2" customFormat="1" ht="24" customHeight="1" spans="1:36">
      <c r="A2" s="8" t="s">
        <v>17</v>
      </c>
      <c r="B2" s="8" t="s">
        <v>41</v>
      </c>
      <c r="C2" s="8" t="s">
        <v>42</v>
      </c>
      <c r="D2" s="8" t="s">
        <v>43</v>
      </c>
      <c r="E2" s="9" t="s">
        <v>44</v>
      </c>
      <c r="F2" s="10" t="s">
        <v>45</v>
      </c>
      <c r="G2" s="10" t="s">
        <v>46</v>
      </c>
      <c r="H2" s="10" t="s">
        <v>47</v>
      </c>
      <c r="I2" s="10" t="s">
        <v>48</v>
      </c>
      <c r="J2" s="10" t="s">
        <v>49</v>
      </c>
      <c r="K2" s="11" t="s">
        <v>50</v>
      </c>
      <c r="L2" s="8" t="s">
        <v>24</v>
      </c>
      <c r="M2" s="130"/>
      <c r="N2" s="130"/>
      <c r="O2" s="130"/>
      <c r="P2" s="44" t="s">
        <v>52</v>
      </c>
      <c r="Q2" s="128"/>
      <c r="R2" s="129"/>
      <c r="S2" s="128"/>
      <c r="T2" s="128"/>
      <c r="U2" s="128"/>
      <c r="V2" s="128"/>
      <c r="W2" s="130"/>
      <c r="X2" s="130"/>
      <c r="Y2" s="130"/>
      <c r="Z2" s="130"/>
      <c r="AA2" s="130"/>
      <c r="AB2" s="130"/>
      <c r="AC2" s="130"/>
      <c r="AD2" s="130"/>
      <c r="AE2" s="130"/>
      <c r="AF2" s="130"/>
      <c r="AG2" s="130"/>
      <c r="AH2" s="130"/>
      <c r="AI2" s="130"/>
      <c r="AJ2" s="130"/>
    </row>
    <row r="3" s="2" customFormat="1" ht="23" customHeight="1" spans="1:36">
      <c r="A3" s="12"/>
      <c r="B3" s="12"/>
      <c r="C3" s="12"/>
      <c r="D3" s="12"/>
      <c r="E3" s="12"/>
      <c r="F3" s="12"/>
      <c r="G3" s="12"/>
      <c r="H3" s="12"/>
      <c r="I3" s="45">
        <f>地上装修工程!$I$3</f>
        <v>0.1</v>
      </c>
      <c r="J3" s="12"/>
      <c r="K3" s="12"/>
      <c r="L3" s="12"/>
      <c r="M3" s="130"/>
      <c r="N3" s="130"/>
      <c r="O3" s="130"/>
      <c r="P3" s="46" t="s">
        <v>52</v>
      </c>
      <c r="Q3" s="46" t="s">
        <v>46</v>
      </c>
      <c r="R3" s="131" t="s">
        <v>53</v>
      </c>
      <c r="S3" s="46" t="s">
        <v>45</v>
      </c>
      <c r="T3" s="46" t="s">
        <v>54</v>
      </c>
      <c r="U3" s="46" t="s">
        <v>55</v>
      </c>
      <c r="V3" s="46" t="s">
        <v>56</v>
      </c>
      <c r="W3" s="130"/>
      <c r="X3" s="130"/>
      <c r="Y3" s="130"/>
      <c r="Z3" s="130"/>
      <c r="AA3" s="130"/>
      <c r="AB3" s="130"/>
      <c r="AC3" s="130"/>
      <c r="AD3" s="130"/>
      <c r="AE3" s="130"/>
      <c r="AF3" s="130"/>
      <c r="AG3" s="130"/>
      <c r="AH3" s="130"/>
      <c r="AI3" s="130"/>
      <c r="AJ3" s="130"/>
    </row>
    <row r="4" s="119" customFormat="1" ht="24" customHeight="1" spans="1:36">
      <c r="A4" s="132" t="s">
        <v>57</v>
      </c>
      <c r="B4" s="8" t="s">
        <v>33</v>
      </c>
      <c r="C4" s="8"/>
      <c r="D4" s="133"/>
      <c r="E4" s="134"/>
      <c r="F4" s="134"/>
      <c r="G4" s="134"/>
      <c r="H4" s="134"/>
      <c r="I4" s="134"/>
      <c r="J4" s="134"/>
      <c r="K4" s="11">
        <f>SUM(K5:K23)</f>
        <v>18192.83</v>
      </c>
      <c r="L4" s="135"/>
      <c r="M4" s="139"/>
      <c r="N4" s="139"/>
      <c r="O4" s="139"/>
      <c r="P4" s="137"/>
      <c r="Q4" s="137"/>
      <c r="R4" s="138"/>
      <c r="S4" s="137"/>
      <c r="T4" s="137"/>
      <c r="U4" s="137"/>
      <c r="V4" s="137"/>
      <c r="W4" s="139"/>
      <c r="X4" s="139"/>
      <c r="Y4" s="139"/>
      <c r="Z4" s="139"/>
      <c r="AA4" s="139"/>
      <c r="AB4" s="139"/>
      <c r="AC4" s="139"/>
      <c r="AD4" s="139"/>
      <c r="AE4" s="139"/>
      <c r="AF4" s="139"/>
      <c r="AG4" s="139"/>
      <c r="AH4" s="139"/>
      <c r="AI4" s="139"/>
      <c r="AJ4" s="139"/>
    </row>
    <row r="5" s="119" customFormat="1" ht="24" customHeight="1" outlineLevel="1" spans="1:36">
      <c r="A5" s="141"/>
      <c r="B5" s="14" t="s">
        <v>60</v>
      </c>
      <c r="C5" s="15"/>
      <c r="D5" s="142"/>
      <c r="E5" s="143"/>
      <c r="F5" s="143"/>
      <c r="G5" s="143"/>
      <c r="H5" s="143"/>
      <c r="I5" s="143"/>
      <c r="J5" s="143"/>
      <c r="K5" s="144"/>
      <c r="L5" s="135"/>
      <c r="M5" s="139"/>
      <c r="N5" s="139"/>
      <c r="O5" s="139"/>
      <c r="P5" s="137"/>
      <c r="Q5" s="137"/>
      <c r="R5" s="138"/>
      <c r="S5" s="137"/>
      <c r="T5" s="137"/>
      <c r="U5" s="137"/>
      <c r="V5" s="137"/>
      <c r="W5" s="139"/>
      <c r="X5" s="139"/>
      <c r="Y5" s="139"/>
      <c r="Z5" s="139"/>
      <c r="AA5" s="139"/>
      <c r="AB5" s="139"/>
      <c r="AC5" s="139"/>
      <c r="AD5" s="139"/>
      <c r="AE5" s="139"/>
      <c r="AF5" s="139"/>
      <c r="AG5" s="139"/>
      <c r="AH5" s="139"/>
      <c r="AI5" s="139"/>
      <c r="AJ5" s="139"/>
    </row>
    <row r="6" s="119" customFormat="1" ht="96" customHeight="1" outlineLevel="2" spans="1:36">
      <c r="A6" s="145">
        <f>1+N(A5)</f>
        <v>1</v>
      </c>
      <c r="B6" s="146" t="s">
        <v>61</v>
      </c>
      <c r="C6" s="147" t="s">
        <v>62</v>
      </c>
      <c r="D6" s="148" t="s">
        <v>63</v>
      </c>
      <c r="E6" s="149">
        <v>2.337</v>
      </c>
      <c r="F6" s="149">
        <f>S6*$S$1</f>
        <v>130</v>
      </c>
      <c r="G6" s="149">
        <f>Q6*(1+R6)*$Q$1</f>
        <v>628.3</v>
      </c>
      <c r="H6" s="150">
        <f>(T6+U6)*$T$1</f>
        <v>47.7</v>
      </c>
      <c r="I6" s="150">
        <f>(F6+G6+H6)*$I$3</f>
        <v>80.6</v>
      </c>
      <c r="J6" s="151">
        <f>ROUND(SUM(F6:I6),2)</f>
        <v>886.6</v>
      </c>
      <c r="K6" s="152">
        <f>ROUND(J6*E6,2)</f>
        <v>2071.98</v>
      </c>
      <c r="L6" s="153"/>
      <c r="M6" s="139"/>
      <c r="N6" s="139"/>
      <c r="O6" s="139"/>
      <c r="P6" s="37">
        <f>Q6+Q6*R6+S6+T6+U6</f>
        <v>806</v>
      </c>
      <c r="Q6" s="168">
        <v>610</v>
      </c>
      <c r="R6" s="155">
        <v>0.03</v>
      </c>
      <c r="S6" s="169">
        <f>35+95</f>
        <v>130</v>
      </c>
      <c r="T6" s="169">
        <f>420*0.07+16.8</f>
        <v>46.2</v>
      </c>
      <c r="U6" s="169">
        <v>1.5</v>
      </c>
      <c r="V6" s="37">
        <f>P6*E6</f>
        <v>1883.622</v>
      </c>
      <c r="W6" s="139"/>
      <c r="X6" s="139"/>
      <c r="Y6" s="139"/>
      <c r="Z6" s="139"/>
      <c r="AA6" s="139"/>
      <c r="AB6" s="139"/>
      <c r="AC6" s="139"/>
      <c r="AD6" s="139"/>
      <c r="AE6" s="139"/>
      <c r="AF6" s="139"/>
      <c r="AG6" s="139"/>
      <c r="AH6" s="139"/>
      <c r="AI6" s="139"/>
      <c r="AJ6" s="139"/>
    </row>
    <row r="7" s="119" customFormat="1" ht="48" customHeight="1" outlineLevel="2" spans="1:36">
      <c r="A7" s="145">
        <f>1+N(A6)</f>
        <v>2</v>
      </c>
      <c r="B7" s="146" t="s">
        <v>71</v>
      </c>
      <c r="C7" s="147" t="s">
        <v>72</v>
      </c>
      <c r="D7" s="148" t="s">
        <v>63</v>
      </c>
      <c r="E7" s="149">
        <v>2.337</v>
      </c>
      <c r="F7" s="149">
        <f>S7*$S$1</f>
        <v>40</v>
      </c>
      <c r="G7" s="149">
        <f>Q7*(1+R7)*$Q$1</f>
        <v>15</v>
      </c>
      <c r="H7" s="149">
        <f>(T7+U7)*$T$1</f>
        <v>0.8</v>
      </c>
      <c r="I7" s="150">
        <f>(F7+G7+H7)*$I$3</f>
        <v>5.58</v>
      </c>
      <c r="J7" s="151">
        <f>ROUND(SUM(F7:I7),2)</f>
        <v>61.38</v>
      </c>
      <c r="K7" s="152">
        <f>ROUND(J7*E7,2)</f>
        <v>143.45</v>
      </c>
      <c r="L7" s="153"/>
      <c r="M7" s="139"/>
      <c r="N7" s="139"/>
      <c r="O7" s="139"/>
      <c r="P7" s="37">
        <f>Q7+Q7*R7+S7+T7+U7</f>
        <v>55.8</v>
      </c>
      <c r="Q7" s="71">
        <v>15</v>
      </c>
      <c r="R7" s="157">
        <v>0</v>
      </c>
      <c r="S7" s="71">
        <v>40</v>
      </c>
      <c r="T7" s="71">
        <v>0.5</v>
      </c>
      <c r="U7" s="71">
        <v>0.3</v>
      </c>
      <c r="V7" s="37">
        <f>P7*E7</f>
        <v>130.4046</v>
      </c>
      <c r="W7" s="139"/>
      <c r="X7" s="139"/>
      <c r="Y7" s="139"/>
      <c r="Z7" s="139"/>
      <c r="AA7" s="139"/>
      <c r="AB7" s="139"/>
      <c r="AC7" s="139"/>
      <c r="AD7" s="139"/>
      <c r="AE7" s="139"/>
      <c r="AF7" s="139"/>
      <c r="AG7" s="139"/>
      <c r="AH7" s="139"/>
      <c r="AI7" s="139"/>
      <c r="AJ7" s="139"/>
    </row>
    <row r="8" s="119" customFormat="1" ht="24" customHeight="1" outlineLevel="1" spans="1:36">
      <c r="A8" s="141"/>
      <c r="B8" s="14" t="s">
        <v>494</v>
      </c>
      <c r="C8" s="15"/>
      <c r="D8" s="142"/>
      <c r="E8" s="143"/>
      <c r="F8" s="143"/>
      <c r="G8" s="143"/>
      <c r="H8" s="143"/>
      <c r="I8" s="143"/>
      <c r="J8" s="143"/>
      <c r="K8" s="144"/>
      <c r="L8" s="135"/>
      <c r="M8" s="139"/>
      <c r="N8" s="139"/>
      <c r="O8" s="139"/>
      <c r="P8" s="137"/>
      <c r="Q8" s="137"/>
      <c r="R8" s="138"/>
      <c r="S8" s="137"/>
      <c r="T8" s="137"/>
      <c r="U8" s="137"/>
      <c r="V8" s="137"/>
      <c r="W8" s="139"/>
      <c r="X8" s="139"/>
      <c r="Y8" s="139"/>
      <c r="Z8" s="139"/>
      <c r="AA8" s="139"/>
      <c r="AB8" s="139"/>
      <c r="AC8" s="139"/>
      <c r="AD8" s="139"/>
      <c r="AE8" s="139"/>
      <c r="AF8" s="139"/>
      <c r="AG8" s="139"/>
      <c r="AH8" s="139"/>
      <c r="AI8" s="139"/>
      <c r="AJ8" s="139"/>
    </row>
    <row r="9" s="119" customFormat="1" ht="72" customHeight="1" outlineLevel="2" spans="1:36">
      <c r="A9" s="145">
        <f t="shared" ref="A9:A15" si="0">1+N(A8)</f>
        <v>1</v>
      </c>
      <c r="B9" s="158" t="s">
        <v>495</v>
      </c>
      <c r="C9" s="147" t="s">
        <v>496</v>
      </c>
      <c r="D9" s="148" t="s">
        <v>63</v>
      </c>
      <c r="E9" s="149">
        <v>2.738</v>
      </c>
      <c r="F9" s="149">
        <f t="shared" ref="F9:F15" si="1">S9*$S$1</f>
        <v>95</v>
      </c>
      <c r="G9" s="149">
        <f t="shared" ref="G9:G15" si="2">Q9*(1+R9)*$Q$1</f>
        <v>890</v>
      </c>
      <c r="H9" s="149">
        <f t="shared" ref="H9:H15" si="3">(T9+U9)*$T$1</f>
        <v>18.3</v>
      </c>
      <c r="I9" s="150">
        <f t="shared" ref="I9:I15" si="4">(F9+G9+H9)*$I$3</f>
        <v>100.33</v>
      </c>
      <c r="J9" s="151">
        <f t="shared" ref="J9:J15" si="5">ROUND(SUM(F9:I9),2)</f>
        <v>1103.63</v>
      </c>
      <c r="K9" s="152">
        <f t="shared" ref="K9:K15" si="6">ROUND(J9*E9,2)</f>
        <v>3021.74</v>
      </c>
      <c r="L9" s="153"/>
      <c r="M9" s="139"/>
      <c r="N9" s="139"/>
      <c r="O9" s="139"/>
      <c r="P9" s="37">
        <f t="shared" ref="P9:P15" si="7">Q9+Q9*R9+S9+T9+U9</f>
        <v>1003.3</v>
      </c>
      <c r="Q9" s="71">
        <v>890</v>
      </c>
      <c r="R9" s="157">
        <v>0</v>
      </c>
      <c r="S9" s="169">
        <v>95</v>
      </c>
      <c r="T9" s="169">
        <v>16.8</v>
      </c>
      <c r="U9" s="169">
        <v>1.5</v>
      </c>
      <c r="V9" s="37">
        <f t="shared" ref="V9:V15" si="8">P9*E9</f>
        <v>2747.0354</v>
      </c>
      <c r="W9" s="139"/>
      <c r="X9" s="139"/>
      <c r="Y9" s="139"/>
      <c r="Z9" s="139"/>
      <c r="AA9" s="139"/>
      <c r="AB9" s="139"/>
      <c r="AC9" s="139"/>
      <c r="AD9" s="139"/>
      <c r="AE9" s="139"/>
      <c r="AF9" s="139"/>
      <c r="AG9" s="139"/>
      <c r="AH9" s="139"/>
      <c r="AI9" s="139"/>
      <c r="AJ9" s="139"/>
    </row>
    <row r="10" s="119" customFormat="1" ht="36" customHeight="1" outlineLevel="2" spans="1:36">
      <c r="A10" s="145">
        <f t="shared" si="0"/>
        <v>2</v>
      </c>
      <c r="B10" s="158" t="s">
        <v>131</v>
      </c>
      <c r="C10" s="147" t="s">
        <v>497</v>
      </c>
      <c r="D10" s="148" t="s">
        <v>63</v>
      </c>
      <c r="E10" s="149">
        <f>2.415+(0.217*1.05+0.037*1.47+0.054*1.05)*2</f>
        <v>3.09288</v>
      </c>
      <c r="F10" s="149">
        <f t="shared" si="1"/>
        <v>110</v>
      </c>
      <c r="G10" s="149">
        <f t="shared" si="2"/>
        <v>454.5</v>
      </c>
      <c r="H10" s="149">
        <f t="shared" si="3"/>
        <v>55.2</v>
      </c>
      <c r="I10" s="150">
        <f t="shared" si="4"/>
        <v>61.97</v>
      </c>
      <c r="J10" s="151">
        <f t="shared" si="5"/>
        <v>681.67</v>
      </c>
      <c r="K10" s="152">
        <f t="shared" si="6"/>
        <v>2108.32</v>
      </c>
      <c r="L10" s="153"/>
      <c r="M10" s="139"/>
      <c r="N10" s="139"/>
      <c r="O10" s="139"/>
      <c r="P10" s="37">
        <f t="shared" si="7"/>
        <v>619.7</v>
      </c>
      <c r="Q10" s="71">
        <v>450</v>
      </c>
      <c r="R10" s="157">
        <v>0.01</v>
      </c>
      <c r="S10" s="71">
        <v>110</v>
      </c>
      <c r="T10" s="71">
        <v>54</v>
      </c>
      <c r="U10" s="71">
        <v>1.2</v>
      </c>
      <c r="V10" s="37">
        <f t="shared" si="8"/>
        <v>1916.657736</v>
      </c>
      <c r="W10" s="139"/>
      <c r="X10" s="139"/>
      <c r="Y10" s="139"/>
      <c r="Z10" s="139"/>
      <c r="AA10" s="139"/>
      <c r="AB10" s="139"/>
      <c r="AC10" s="139"/>
      <c r="AD10" s="139"/>
      <c r="AE10" s="139"/>
      <c r="AF10" s="139"/>
      <c r="AG10" s="139"/>
      <c r="AH10" s="139"/>
      <c r="AI10" s="139"/>
      <c r="AJ10" s="139"/>
    </row>
    <row r="11" s="119" customFormat="1" ht="60" customHeight="1" outlineLevel="2" spans="1:36">
      <c r="A11" s="145">
        <f t="shared" si="0"/>
        <v>3</v>
      </c>
      <c r="B11" s="158" t="s">
        <v>498</v>
      </c>
      <c r="C11" s="147" t="s">
        <v>499</v>
      </c>
      <c r="D11" s="148" t="s">
        <v>63</v>
      </c>
      <c r="E11" s="149">
        <v>8.025</v>
      </c>
      <c r="F11" s="149">
        <f t="shared" si="1"/>
        <v>35</v>
      </c>
      <c r="G11" s="149">
        <f t="shared" si="2"/>
        <v>519.12</v>
      </c>
      <c r="H11" s="149">
        <f t="shared" si="3"/>
        <v>54.7</v>
      </c>
      <c r="I11" s="150">
        <f t="shared" si="4"/>
        <v>60.882</v>
      </c>
      <c r="J11" s="151">
        <f t="shared" si="5"/>
        <v>669.7</v>
      </c>
      <c r="K11" s="152">
        <f t="shared" si="6"/>
        <v>5374.34</v>
      </c>
      <c r="L11" s="153"/>
      <c r="M11" s="139"/>
      <c r="N11" s="139"/>
      <c r="O11" s="139"/>
      <c r="P11" s="37">
        <f t="shared" si="7"/>
        <v>608.82</v>
      </c>
      <c r="Q11" s="71">
        <v>504</v>
      </c>
      <c r="R11" s="157">
        <v>0.03</v>
      </c>
      <c r="S11" s="71">
        <v>35</v>
      </c>
      <c r="T11" s="71">
        <v>53.5</v>
      </c>
      <c r="U11" s="71">
        <v>1.2</v>
      </c>
      <c r="V11" s="37">
        <f t="shared" si="8"/>
        <v>4885.7805</v>
      </c>
      <c r="W11" s="139"/>
      <c r="X11" s="139"/>
      <c r="Y11" s="139"/>
      <c r="Z11" s="139"/>
      <c r="AA11" s="139"/>
      <c r="AB11" s="139"/>
      <c r="AC11" s="139"/>
      <c r="AD11" s="139"/>
      <c r="AE11" s="139"/>
      <c r="AF11" s="139"/>
      <c r="AG11" s="139"/>
      <c r="AH11" s="139"/>
      <c r="AI11" s="139"/>
      <c r="AJ11" s="139"/>
    </row>
    <row r="12" s="119" customFormat="1" ht="48" customHeight="1" outlineLevel="2" spans="1:36">
      <c r="A12" s="145">
        <f t="shared" si="0"/>
        <v>4</v>
      </c>
      <c r="B12" s="159" t="s">
        <v>500</v>
      </c>
      <c r="C12" s="160" t="s">
        <v>501</v>
      </c>
      <c r="D12" s="159" t="s">
        <v>70</v>
      </c>
      <c r="E12" s="149">
        <v>4.47</v>
      </c>
      <c r="F12" s="149">
        <f t="shared" si="1"/>
        <v>12</v>
      </c>
      <c r="G12" s="149">
        <f t="shared" si="2"/>
        <v>25.75</v>
      </c>
      <c r="H12" s="149">
        <f t="shared" si="3"/>
        <v>3.8</v>
      </c>
      <c r="I12" s="150">
        <f t="shared" si="4"/>
        <v>4.155</v>
      </c>
      <c r="J12" s="151">
        <f t="shared" si="5"/>
        <v>45.71</v>
      </c>
      <c r="K12" s="152">
        <f t="shared" si="6"/>
        <v>204.32</v>
      </c>
      <c r="L12" s="153"/>
      <c r="M12" s="139"/>
      <c r="N12" s="139"/>
      <c r="O12" s="139"/>
      <c r="P12" s="37">
        <f t="shared" si="7"/>
        <v>41.55</v>
      </c>
      <c r="Q12" s="71">
        <v>25</v>
      </c>
      <c r="R12" s="157">
        <v>0.03</v>
      </c>
      <c r="S12" s="71">
        <v>12</v>
      </c>
      <c r="T12" s="71">
        <v>3.5</v>
      </c>
      <c r="U12" s="71">
        <v>0.3</v>
      </c>
      <c r="V12" s="37">
        <f t="shared" si="8"/>
        <v>185.7285</v>
      </c>
      <c r="W12" s="139"/>
      <c r="X12" s="139"/>
      <c r="Y12" s="139"/>
      <c r="Z12" s="139"/>
      <c r="AA12" s="139"/>
      <c r="AB12" s="139"/>
      <c r="AC12" s="139"/>
      <c r="AD12" s="139"/>
      <c r="AE12" s="139"/>
      <c r="AF12" s="139"/>
      <c r="AG12" s="139"/>
      <c r="AH12" s="139"/>
      <c r="AI12" s="139"/>
      <c r="AJ12" s="139"/>
    </row>
    <row r="13" s="119" customFormat="1" ht="36" customHeight="1" outlineLevel="2" spans="1:36">
      <c r="A13" s="145">
        <f t="shared" si="0"/>
        <v>5</v>
      </c>
      <c r="B13" s="159" t="s">
        <v>502</v>
      </c>
      <c r="C13" s="160" t="s">
        <v>503</v>
      </c>
      <c r="D13" s="159" t="s">
        <v>70</v>
      </c>
      <c r="E13" s="149">
        <v>5.17</v>
      </c>
      <c r="F13" s="149">
        <f t="shared" si="1"/>
        <v>12</v>
      </c>
      <c r="G13" s="149">
        <f t="shared" si="2"/>
        <v>37.3375</v>
      </c>
      <c r="H13" s="149">
        <f t="shared" si="3"/>
        <v>3.8</v>
      </c>
      <c r="I13" s="150">
        <f t="shared" si="4"/>
        <v>5.31375</v>
      </c>
      <c r="J13" s="151">
        <f t="shared" si="5"/>
        <v>58.45</v>
      </c>
      <c r="K13" s="152">
        <f t="shared" si="6"/>
        <v>302.19</v>
      </c>
      <c r="L13" s="153"/>
      <c r="M13" s="139"/>
      <c r="N13" s="139"/>
      <c r="O13" s="139"/>
      <c r="P13" s="37">
        <f t="shared" si="7"/>
        <v>53.1375</v>
      </c>
      <c r="Q13" s="71">
        <v>36.25</v>
      </c>
      <c r="R13" s="157">
        <v>0.03</v>
      </c>
      <c r="S13" s="71">
        <v>12</v>
      </c>
      <c r="T13" s="71">
        <v>3.5</v>
      </c>
      <c r="U13" s="71">
        <v>0.3</v>
      </c>
      <c r="V13" s="37">
        <f t="shared" si="8"/>
        <v>274.720875</v>
      </c>
      <c r="W13" s="139"/>
      <c r="X13" s="139"/>
      <c r="Y13" s="139"/>
      <c r="Z13" s="139"/>
      <c r="AA13" s="139"/>
      <c r="AB13" s="139"/>
      <c r="AC13" s="139"/>
      <c r="AD13" s="139"/>
      <c r="AE13" s="139"/>
      <c r="AF13" s="139"/>
      <c r="AG13" s="139"/>
      <c r="AH13" s="139"/>
      <c r="AI13" s="139"/>
      <c r="AJ13" s="139"/>
    </row>
    <row r="14" s="119" customFormat="1" ht="36" customHeight="1" outlineLevel="2" spans="1:36">
      <c r="A14" s="145">
        <f t="shared" si="0"/>
        <v>6</v>
      </c>
      <c r="B14" s="159" t="s">
        <v>504</v>
      </c>
      <c r="C14" s="160" t="s">
        <v>505</v>
      </c>
      <c r="D14" s="159" t="s">
        <v>70</v>
      </c>
      <c r="E14" s="149">
        <v>5.17</v>
      </c>
      <c r="F14" s="149">
        <f t="shared" si="1"/>
        <v>15</v>
      </c>
      <c r="G14" s="149">
        <f t="shared" si="2"/>
        <v>18.7975</v>
      </c>
      <c r="H14" s="149">
        <f t="shared" si="3"/>
        <v>3.8</v>
      </c>
      <c r="I14" s="150">
        <f t="shared" si="4"/>
        <v>3.75975</v>
      </c>
      <c r="J14" s="151">
        <f t="shared" si="5"/>
        <v>41.36</v>
      </c>
      <c r="K14" s="152">
        <f t="shared" si="6"/>
        <v>213.83</v>
      </c>
      <c r="L14" s="153"/>
      <c r="M14" s="139"/>
      <c r="N14" s="139"/>
      <c r="O14" s="139"/>
      <c r="P14" s="37">
        <f t="shared" si="7"/>
        <v>37.5975</v>
      </c>
      <c r="Q14" s="71">
        <v>18.25</v>
      </c>
      <c r="R14" s="157">
        <v>0.03</v>
      </c>
      <c r="S14" s="71">
        <v>15</v>
      </c>
      <c r="T14" s="71">
        <v>3.5</v>
      </c>
      <c r="U14" s="71">
        <v>0.3</v>
      </c>
      <c r="V14" s="37">
        <f t="shared" si="8"/>
        <v>194.379075</v>
      </c>
      <c r="W14" s="139"/>
      <c r="X14" s="139"/>
      <c r="Y14" s="139"/>
      <c r="Z14" s="139"/>
      <c r="AA14" s="139"/>
      <c r="AB14" s="139"/>
      <c r="AC14" s="139"/>
      <c r="AD14" s="139"/>
      <c r="AE14" s="139"/>
      <c r="AF14" s="139"/>
      <c r="AG14" s="139"/>
      <c r="AH14" s="139"/>
      <c r="AI14" s="139"/>
      <c r="AJ14" s="139"/>
    </row>
    <row r="15" s="119" customFormat="1" ht="48" customHeight="1" outlineLevel="2" spans="1:36">
      <c r="A15" s="145">
        <f t="shared" si="0"/>
        <v>7</v>
      </c>
      <c r="B15" s="159" t="s">
        <v>506</v>
      </c>
      <c r="C15" s="160" t="s">
        <v>507</v>
      </c>
      <c r="D15" s="159" t="s">
        <v>70</v>
      </c>
      <c r="E15" s="149">
        <f>6.78+3.394+10.06+2.585*2</f>
        <v>25.404</v>
      </c>
      <c r="F15" s="149">
        <f t="shared" si="1"/>
        <v>12</v>
      </c>
      <c r="G15" s="149">
        <f t="shared" si="2"/>
        <v>37.3375</v>
      </c>
      <c r="H15" s="149">
        <f t="shared" si="3"/>
        <v>3.8</v>
      </c>
      <c r="I15" s="150">
        <f t="shared" si="4"/>
        <v>5.31375</v>
      </c>
      <c r="J15" s="151">
        <f t="shared" si="5"/>
        <v>58.45</v>
      </c>
      <c r="K15" s="152">
        <f t="shared" si="6"/>
        <v>1484.86</v>
      </c>
      <c r="L15" s="153"/>
      <c r="M15" s="139"/>
      <c r="N15" s="139"/>
      <c r="O15" s="139"/>
      <c r="P15" s="37">
        <f t="shared" si="7"/>
        <v>53.1375</v>
      </c>
      <c r="Q15" s="71">
        <v>36.25</v>
      </c>
      <c r="R15" s="157">
        <v>0.03</v>
      </c>
      <c r="S15" s="71">
        <v>12</v>
      </c>
      <c r="T15" s="71">
        <v>3.5</v>
      </c>
      <c r="U15" s="71">
        <v>0.3</v>
      </c>
      <c r="V15" s="37">
        <f t="shared" si="8"/>
        <v>1349.90505</v>
      </c>
      <c r="W15" s="139"/>
      <c r="X15" s="139"/>
      <c r="Y15" s="139"/>
      <c r="Z15" s="139"/>
      <c r="AA15" s="139"/>
      <c r="AB15" s="139"/>
      <c r="AC15" s="139"/>
      <c r="AD15" s="139"/>
      <c r="AE15" s="139"/>
      <c r="AF15" s="139"/>
      <c r="AG15" s="139"/>
      <c r="AH15" s="139"/>
      <c r="AI15" s="139"/>
      <c r="AJ15" s="139"/>
    </row>
    <row r="16" s="119" customFormat="1" ht="24" customHeight="1" outlineLevel="1" spans="1:36">
      <c r="A16" s="141"/>
      <c r="B16" s="14" t="s">
        <v>101</v>
      </c>
      <c r="C16" s="15"/>
      <c r="D16" s="142"/>
      <c r="E16" s="143"/>
      <c r="F16" s="143"/>
      <c r="G16" s="143"/>
      <c r="H16" s="143"/>
      <c r="I16" s="143"/>
      <c r="J16" s="143"/>
      <c r="K16" s="144"/>
      <c r="L16" s="135"/>
      <c r="M16" s="139"/>
      <c r="N16" s="139"/>
      <c r="O16" s="139"/>
      <c r="P16" s="137"/>
      <c r="Q16" s="137"/>
      <c r="R16" s="138"/>
      <c r="S16" s="137"/>
      <c r="T16" s="137"/>
      <c r="U16" s="137"/>
      <c r="V16" s="137"/>
      <c r="W16" s="139"/>
      <c r="X16" s="139"/>
      <c r="Y16" s="139"/>
      <c r="Z16" s="139"/>
      <c r="AA16" s="139"/>
      <c r="AB16" s="139"/>
      <c r="AC16" s="139"/>
      <c r="AD16" s="139"/>
      <c r="AE16" s="139"/>
      <c r="AF16" s="139"/>
      <c r="AG16" s="139"/>
      <c r="AH16" s="139"/>
      <c r="AI16" s="139"/>
      <c r="AJ16" s="139"/>
    </row>
    <row r="17" s="119" customFormat="1" ht="84" customHeight="1" outlineLevel="2" spans="1:36">
      <c r="A17" s="145">
        <f>1+N(A16)</f>
        <v>1</v>
      </c>
      <c r="B17" s="146" t="s">
        <v>385</v>
      </c>
      <c r="C17" s="161" t="s">
        <v>386</v>
      </c>
      <c r="D17" s="148" t="s">
        <v>63</v>
      </c>
      <c r="E17" s="149">
        <v>2.096</v>
      </c>
      <c r="F17" s="149">
        <f>S17*$S$1</f>
        <v>110</v>
      </c>
      <c r="G17" s="149">
        <f>Q17*(1+R17)*$Q$1</f>
        <v>454.5</v>
      </c>
      <c r="H17" s="149">
        <f>(T17+U17)*$T$1</f>
        <v>40.997</v>
      </c>
      <c r="I17" s="150">
        <f>(F17+G17+H17)*$I$3</f>
        <v>60.5497</v>
      </c>
      <c r="J17" s="151">
        <f>ROUND(SUM(F17:I17),2)</f>
        <v>666.05</v>
      </c>
      <c r="K17" s="152">
        <f>ROUND(J17*E17,2)</f>
        <v>1396.04</v>
      </c>
      <c r="L17" s="153"/>
      <c r="M17" s="139"/>
      <c r="N17" s="139"/>
      <c r="O17" s="139"/>
      <c r="P17" s="37">
        <f>Q17+Q17*R17+S17+T17+U17</f>
        <v>605.497</v>
      </c>
      <c r="Q17" s="71">
        <v>450</v>
      </c>
      <c r="R17" s="157">
        <v>0.01</v>
      </c>
      <c r="S17" s="71">
        <v>110</v>
      </c>
      <c r="T17" s="71">
        <v>38.997</v>
      </c>
      <c r="U17" s="71">
        <v>2</v>
      </c>
      <c r="V17" s="37">
        <f>P17*E17</f>
        <v>1269.121712</v>
      </c>
      <c r="W17" s="139"/>
      <c r="X17" s="139"/>
      <c r="Y17" s="139"/>
      <c r="Z17" s="139"/>
      <c r="AA17" s="139"/>
      <c r="AB17" s="139"/>
      <c r="AC17" s="139"/>
      <c r="AD17" s="139"/>
      <c r="AE17" s="139"/>
      <c r="AF17" s="139"/>
      <c r="AG17" s="139"/>
      <c r="AH17" s="139"/>
      <c r="AI17" s="139"/>
      <c r="AJ17" s="139"/>
    </row>
    <row r="18" s="119" customFormat="1" ht="72" customHeight="1" outlineLevel="2" spans="1:36">
      <c r="A18" s="145">
        <f>1+N(A17)</f>
        <v>2</v>
      </c>
      <c r="B18" s="146" t="s">
        <v>508</v>
      </c>
      <c r="C18" s="161" t="s">
        <v>509</v>
      </c>
      <c r="D18" s="148" t="s">
        <v>70</v>
      </c>
      <c r="E18" s="149">
        <v>5.26</v>
      </c>
      <c r="F18" s="149">
        <f>S18*$S$1</f>
        <v>50</v>
      </c>
      <c r="G18" s="149">
        <f>Q18*(1+R18)*$Q$1</f>
        <v>0</v>
      </c>
      <c r="H18" s="149">
        <f>(T18+U18)*$T$1</f>
        <v>22.0941</v>
      </c>
      <c r="I18" s="150">
        <f>(F18+G18+H18)*$I$3</f>
        <v>7.20941</v>
      </c>
      <c r="J18" s="151">
        <f>ROUND(SUM(F18:I18),2)</f>
        <v>79.3</v>
      </c>
      <c r="K18" s="152">
        <f>ROUND(J18*E18,2)</f>
        <v>417.12</v>
      </c>
      <c r="L18" s="153"/>
      <c r="M18" s="139"/>
      <c r="N18" s="139"/>
      <c r="O18" s="139"/>
      <c r="P18" s="37">
        <f>Q18+Q18*R18+S18+T18+U18</f>
        <v>72.0941</v>
      </c>
      <c r="Q18" s="71"/>
      <c r="R18" s="157">
        <v>0.01</v>
      </c>
      <c r="S18" s="71">
        <v>50</v>
      </c>
      <c r="T18" s="71">
        <v>22.0941</v>
      </c>
      <c r="U18" s="71"/>
      <c r="V18" s="37">
        <f>P18*E18</f>
        <v>379.214966</v>
      </c>
      <c r="W18" s="139"/>
      <c r="X18" s="139"/>
      <c r="Y18" s="139"/>
      <c r="Z18" s="139"/>
      <c r="AA18" s="139"/>
      <c r="AB18" s="139"/>
      <c r="AC18" s="139"/>
      <c r="AD18" s="139"/>
      <c r="AE18" s="139"/>
      <c r="AF18" s="139"/>
      <c r="AG18" s="139"/>
      <c r="AH18" s="139"/>
      <c r="AI18" s="139"/>
      <c r="AJ18" s="139"/>
    </row>
    <row r="19" s="119" customFormat="1" ht="72" customHeight="1" outlineLevel="2" spans="1:36">
      <c r="A19" s="145">
        <f>1+N(A18)</f>
        <v>3</v>
      </c>
      <c r="B19" s="146" t="s">
        <v>510</v>
      </c>
      <c r="C19" s="147" t="s">
        <v>511</v>
      </c>
      <c r="D19" s="148" t="s">
        <v>70</v>
      </c>
      <c r="E19" s="149">
        <f>1.25*2</f>
        <v>2.5</v>
      </c>
      <c r="F19" s="149">
        <f>S19*$S$1</f>
        <v>30</v>
      </c>
      <c r="G19" s="149">
        <f>Q19*(1+R19)*$Q$1</f>
        <v>65.6625</v>
      </c>
      <c r="H19" s="149">
        <f>(T19+U19)*$T$1</f>
        <v>2.7</v>
      </c>
      <c r="I19" s="150">
        <f>(F19+G19+H19)*$I$3</f>
        <v>9.83625</v>
      </c>
      <c r="J19" s="151">
        <f>ROUND(SUM(F19:I19),2)</f>
        <v>108.2</v>
      </c>
      <c r="K19" s="152">
        <f>ROUND(J19*E19,2)</f>
        <v>270.5</v>
      </c>
      <c r="L19" s="153"/>
      <c r="M19" s="139"/>
      <c r="N19" s="139"/>
      <c r="O19" s="139"/>
      <c r="P19" s="37">
        <f>Q19+Q19*R19+S19+T19+U19</f>
        <v>98.3625</v>
      </c>
      <c r="Q19" s="71">
        <v>63.75</v>
      </c>
      <c r="R19" s="157">
        <v>0.03</v>
      </c>
      <c r="S19" s="71">
        <v>30</v>
      </c>
      <c r="T19" s="71">
        <v>2.5</v>
      </c>
      <c r="U19" s="71">
        <v>0.2</v>
      </c>
      <c r="V19" s="37">
        <f>P19*E19</f>
        <v>245.90625</v>
      </c>
      <c r="W19" s="139"/>
      <c r="X19" s="139"/>
      <c r="Y19" s="139"/>
      <c r="Z19" s="139"/>
      <c r="AA19" s="139"/>
      <c r="AB19" s="139"/>
      <c r="AC19" s="139"/>
      <c r="AD19" s="139"/>
      <c r="AE19" s="139"/>
      <c r="AF19" s="139"/>
      <c r="AG19" s="139"/>
      <c r="AH19" s="139"/>
      <c r="AI19" s="139"/>
      <c r="AJ19" s="139"/>
    </row>
    <row r="20" s="119" customFormat="1" ht="72" customHeight="1" outlineLevel="2" spans="1:36">
      <c r="A20" s="145">
        <f>1+N(A19)</f>
        <v>4</v>
      </c>
      <c r="B20" s="146" t="s">
        <v>110</v>
      </c>
      <c r="C20" s="147" t="s">
        <v>111</v>
      </c>
      <c r="D20" s="148" t="s">
        <v>63</v>
      </c>
      <c r="E20" s="149">
        <v>1.146</v>
      </c>
      <c r="F20" s="149">
        <f>S20*$S$1</f>
        <v>45</v>
      </c>
      <c r="G20" s="149">
        <f>Q20*(1+R20)*$Q$1</f>
        <v>85.5</v>
      </c>
      <c r="H20" s="149">
        <f>(T20+U20)*$T$1</f>
        <v>7.3</v>
      </c>
      <c r="I20" s="150">
        <f>(F20+G20+H20)*$I$3</f>
        <v>13.78</v>
      </c>
      <c r="J20" s="151">
        <f>ROUND(SUM(F20:I20),2)</f>
        <v>151.58</v>
      </c>
      <c r="K20" s="152">
        <f>ROUND(J20*E20,2)</f>
        <v>173.71</v>
      </c>
      <c r="L20" s="153"/>
      <c r="M20" s="139"/>
      <c r="N20" s="139"/>
      <c r="O20" s="139"/>
      <c r="P20" s="37">
        <f>Q20+Q20*R20+S20+T20+U20</f>
        <v>137.8</v>
      </c>
      <c r="Q20" s="71">
        <v>85.5</v>
      </c>
      <c r="R20" s="157">
        <v>0</v>
      </c>
      <c r="S20" s="71">
        <v>45</v>
      </c>
      <c r="T20" s="71">
        <v>6.5</v>
      </c>
      <c r="U20" s="71">
        <v>0.8</v>
      </c>
      <c r="V20" s="37">
        <f>P20*E20</f>
        <v>157.9188</v>
      </c>
      <c r="W20" s="139"/>
      <c r="X20" s="139"/>
      <c r="Y20" s="139"/>
      <c r="Z20" s="139"/>
      <c r="AA20" s="139"/>
      <c r="AB20" s="139"/>
      <c r="AC20" s="139"/>
      <c r="AD20" s="139"/>
      <c r="AE20" s="139"/>
      <c r="AF20" s="139"/>
      <c r="AG20" s="139"/>
      <c r="AH20" s="139"/>
      <c r="AI20" s="139"/>
      <c r="AJ20" s="139"/>
    </row>
    <row r="21" s="119" customFormat="1" ht="72" customHeight="1" outlineLevel="2" spans="1:36">
      <c r="A21" s="145">
        <f>1+N(A20)</f>
        <v>5</v>
      </c>
      <c r="B21" s="146" t="s">
        <v>512</v>
      </c>
      <c r="C21" s="160" t="s">
        <v>513</v>
      </c>
      <c r="D21" s="148" t="s">
        <v>70</v>
      </c>
      <c r="E21" s="149">
        <v>2.46</v>
      </c>
      <c r="F21" s="149">
        <f>S21*$S$1</f>
        <v>12</v>
      </c>
      <c r="G21" s="149">
        <f>Q21*(1+R21)*$Q$1</f>
        <v>30.385</v>
      </c>
      <c r="H21" s="149">
        <f>(T21+U21)*$T$1</f>
        <v>3.8</v>
      </c>
      <c r="I21" s="150">
        <f>(F21+G21+H21)*$I$3</f>
        <v>4.6185</v>
      </c>
      <c r="J21" s="151">
        <f>ROUND(SUM(F21:I21),2)</f>
        <v>50.8</v>
      </c>
      <c r="K21" s="152">
        <f>ROUND(J21*E21,2)</f>
        <v>124.97</v>
      </c>
      <c r="L21" s="153"/>
      <c r="M21" s="139"/>
      <c r="N21" s="139"/>
      <c r="O21" s="139"/>
      <c r="P21" s="37">
        <f>Q21+Q21*R21+S21+T21+U21</f>
        <v>46.185</v>
      </c>
      <c r="Q21" s="71">
        <f>450*0.06+2.5</f>
        <v>29.5</v>
      </c>
      <c r="R21" s="155">
        <v>0.03</v>
      </c>
      <c r="S21" s="169">
        <v>12</v>
      </c>
      <c r="T21" s="169">
        <v>3.5</v>
      </c>
      <c r="U21" s="169">
        <v>0.3</v>
      </c>
      <c r="V21" s="37">
        <f>P21*E21</f>
        <v>113.6151</v>
      </c>
      <c r="W21" s="139"/>
      <c r="X21" s="139"/>
      <c r="Y21" s="139"/>
      <c r="Z21" s="139"/>
      <c r="AA21" s="139"/>
      <c r="AB21" s="139"/>
      <c r="AC21" s="139"/>
      <c r="AD21" s="139"/>
      <c r="AE21" s="139"/>
      <c r="AF21" s="139"/>
      <c r="AG21" s="139"/>
      <c r="AH21" s="139"/>
      <c r="AI21" s="139"/>
      <c r="AJ21" s="139"/>
    </row>
    <row r="22" s="119" customFormat="1" ht="24" customHeight="1" outlineLevel="1" spans="1:36">
      <c r="A22" s="141"/>
      <c r="B22" s="14" t="s">
        <v>112</v>
      </c>
      <c r="C22" s="15"/>
      <c r="D22" s="142"/>
      <c r="E22" s="143"/>
      <c r="F22" s="143"/>
      <c r="G22" s="143"/>
      <c r="H22" s="143"/>
      <c r="I22" s="143"/>
      <c r="J22" s="143"/>
      <c r="K22" s="144"/>
      <c r="L22" s="135"/>
      <c r="M22" s="139"/>
      <c r="N22" s="139"/>
      <c r="O22" s="139"/>
      <c r="P22" s="137"/>
      <c r="Q22" s="137"/>
      <c r="R22" s="138"/>
      <c r="S22" s="137"/>
      <c r="T22" s="137"/>
      <c r="U22" s="137"/>
      <c r="V22" s="137"/>
      <c r="W22" s="139"/>
      <c r="X22" s="139"/>
      <c r="Y22" s="139"/>
      <c r="Z22" s="139"/>
      <c r="AA22" s="139"/>
      <c r="AB22" s="139"/>
      <c r="AC22" s="139"/>
      <c r="AD22" s="139"/>
      <c r="AE22" s="139"/>
      <c r="AF22" s="139"/>
      <c r="AG22" s="139"/>
      <c r="AH22" s="139"/>
      <c r="AI22" s="139"/>
      <c r="AJ22" s="139"/>
    </row>
    <row r="23" s="119" customFormat="1" ht="36" customHeight="1" outlineLevel="2" spans="1:36">
      <c r="A23" s="145">
        <f>1+N(A22)</f>
        <v>1</v>
      </c>
      <c r="B23" s="146" t="s">
        <v>514</v>
      </c>
      <c r="C23" s="147" t="s">
        <v>515</v>
      </c>
      <c r="D23" s="148" t="s">
        <v>70</v>
      </c>
      <c r="E23" s="149">
        <f>1.04*2</f>
        <v>2.08</v>
      </c>
      <c r="F23" s="149">
        <f>S23*$S$1</f>
        <v>35</v>
      </c>
      <c r="G23" s="149">
        <f>Q23*(1+R23)*$Q$1</f>
        <v>335</v>
      </c>
      <c r="H23" s="149">
        <f>(T23+U23)*$T$1</f>
        <v>17</v>
      </c>
      <c r="I23" s="150">
        <f>(F23+G23+H23)*$I$3</f>
        <v>38.7</v>
      </c>
      <c r="J23" s="151">
        <f>ROUND(SUM(F23:I23),2)</f>
        <v>425.7</v>
      </c>
      <c r="K23" s="152">
        <f>ROUND(J23*E23,2)</f>
        <v>885.46</v>
      </c>
      <c r="L23" s="153"/>
      <c r="M23" s="139"/>
      <c r="N23" s="139"/>
      <c r="O23" s="139"/>
      <c r="P23" s="37">
        <f>Q23+Q23*R23+S23+T23+U23</f>
        <v>387</v>
      </c>
      <c r="Q23" s="71">
        <v>335</v>
      </c>
      <c r="R23" s="157">
        <v>0</v>
      </c>
      <c r="S23" s="71">
        <v>35</v>
      </c>
      <c r="T23" s="71">
        <v>15</v>
      </c>
      <c r="U23" s="71">
        <v>2</v>
      </c>
      <c r="V23" s="37">
        <f>P23*E23</f>
        <v>804.96</v>
      </c>
      <c r="W23" s="139"/>
      <c r="X23" s="139"/>
      <c r="Y23" s="139"/>
      <c r="Z23" s="139"/>
      <c r="AA23" s="139"/>
      <c r="AB23" s="139"/>
      <c r="AC23" s="139"/>
      <c r="AD23" s="139"/>
      <c r="AE23" s="139"/>
      <c r="AF23" s="139"/>
      <c r="AG23" s="139"/>
      <c r="AH23" s="139"/>
      <c r="AI23" s="139"/>
      <c r="AJ23" s="139"/>
    </row>
    <row r="24" s="119" customFormat="1" ht="24" customHeight="1" spans="1:36">
      <c r="A24" s="132" t="s">
        <v>164</v>
      </c>
      <c r="B24" s="8" t="s">
        <v>516</v>
      </c>
      <c r="C24" s="8"/>
      <c r="D24" s="133"/>
      <c r="E24" s="134"/>
      <c r="F24" s="134"/>
      <c r="G24" s="134"/>
      <c r="H24" s="134"/>
      <c r="I24" s="134"/>
      <c r="J24" s="134"/>
      <c r="K24" s="11">
        <f>SUM(K25:K43)</f>
        <v>18234.42</v>
      </c>
      <c r="L24" s="135"/>
      <c r="M24" s="139"/>
      <c r="N24" s="170"/>
      <c r="O24" s="139"/>
      <c r="P24" s="137"/>
      <c r="Q24" s="137"/>
      <c r="R24" s="138"/>
      <c r="S24" s="137"/>
      <c r="T24" s="137"/>
      <c r="U24" s="137"/>
      <c r="V24" s="137"/>
      <c r="W24" s="139"/>
      <c r="X24" s="139"/>
      <c r="Y24" s="139"/>
      <c r="Z24" s="139"/>
      <c r="AA24" s="139"/>
      <c r="AB24" s="139"/>
      <c r="AC24" s="139"/>
      <c r="AD24" s="139"/>
      <c r="AE24" s="139"/>
      <c r="AF24" s="139"/>
      <c r="AG24" s="139"/>
      <c r="AH24" s="139"/>
      <c r="AI24" s="139"/>
      <c r="AJ24" s="139"/>
    </row>
    <row r="25" s="119" customFormat="1" ht="24" customHeight="1" outlineLevel="1" spans="1:36">
      <c r="A25" s="141"/>
      <c r="B25" s="14" t="s">
        <v>60</v>
      </c>
      <c r="C25" s="15"/>
      <c r="D25" s="142"/>
      <c r="E25" s="143"/>
      <c r="F25" s="143"/>
      <c r="G25" s="143"/>
      <c r="H25" s="143"/>
      <c r="I25" s="143"/>
      <c r="J25" s="143"/>
      <c r="K25" s="144"/>
      <c r="L25" s="135"/>
      <c r="M25" s="139"/>
      <c r="N25" s="139"/>
      <c r="O25" s="139"/>
      <c r="P25" s="137"/>
      <c r="Q25" s="137"/>
      <c r="R25" s="138"/>
      <c r="S25" s="137"/>
      <c r="T25" s="137"/>
      <c r="U25" s="137"/>
      <c r="V25" s="137"/>
      <c r="W25" s="139"/>
      <c r="X25" s="139"/>
      <c r="Y25" s="139"/>
      <c r="Z25" s="139"/>
      <c r="AA25" s="139"/>
      <c r="AB25" s="139"/>
      <c r="AC25" s="139"/>
      <c r="AD25" s="139"/>
      <c r="AE25" s="139"/>
      <c r="AF25" s="139"/>
      <c r="AG25" s="139"/>
      <c r="AH25" s="139"/>
      <c r="AI25" s="139"/>
      <c r="AJ25" s="139"/>
    </row>
    <row r="26" s="119" customFormat="1" ht="96" customHeight="1" outlineLevel="2" spans="1:36">
      <c r="A26" s="162">
        <f>1+N(A25)</f>
        <v>1</v>
      </c>
      <c r="B26" s="14" t="s">
        <v>61</v>
      </c>
      <c r="C26" s="15" t="s">
        <v>62</v>
      </c>
      <c r="D26" s="142" t="s">
        <v>63</v>
      </c>
      <c r="E26" s="143">
        <v>2.337</v>
      </c>
      <c r="F26" s="143">
        <f>$F$6</f>
        <v>130</v>
      </c>
      <c r="G26" s="143">
        <f>$G$6</f>
        <v>628.3</v>
      </c>
      <c r="H26" s="17">
        <f>$H$6</f>
        <v>47.7</v>
      </c>
      <c r="I26" s="17">
        <f>(F26+G26+H26)*$I$3</f>
        <v>80.6</v>
      </c>
      <c r="J26" s="18">
        <f>ROUND(SUM(F26:I26),2)</f>
        <v>886.6</v>
      </c>
      <c r="K26" s="19">
        <f>ROUND(J26*E26,2)</f>
        <v>2071.98</v>
      </c>
      <c r="L26" s="135"/>
      <c r="M26" s="139"/>
      <c r="N26" s="139"/>
      <c r="O26" s="139"/>
      <c r="P26" s="37">
        <f>Q26+Q26*R26+S26+T26+U26</f>
        <v>806</v>
      </c>
      <c r="Q26" s="99">
        <f>$Q$6</f>
        <v>610</v>
      </c>
      <c r="R26" s="163">
        <f>$R$6</f>
        <v>0.03</v>
      </c>
      <c r="S26" s="99">
        <f>$S$6</f>
        <v>130</v>
      </c>
      <c r="T26" s="99">
        <f>$T$6</f>
        <v>46.2</v>
      </c>
      <c r="U26" s="99">
        <f>$U$6</f>
        <v>1.5</v>
      </c>
      <c r="V26" s="37">
        <f>P26*E26</f>
        <v>1883.622</v>
      </c>
      <c r="W26" s="139"/>
      <c r="X26" s="139"/>
      <c r="Y26" s="139"/>
      <c r="Z26" s="139"/>
      <c r="AA26" s="139"/>
      <c r="AB26" s="139"/>
      <c r="AC26" s="139"/>
      <c r="AD26" s="139"/>
      <c r="AE26" s="139"/>
      <c r="AF26" s="139"/>
      <c r="AG26" s="139"/>
      <c r="AH26" s="139"/>
      <c r="AI26" s="139"/>
      <c r="AJ26" s="139"/>
    </row>
    <row r="27" s="119" customFormat="1" ht="48" customHeight="1" outlineLevel="2" spans="1:36">
      <c r="A27" s="162">
        <f>1+N(A26)</f>
        <v>2</v>
      </c>
      <c r="B27" s="14" t="s">
        <v>71</v>
      </c>
      <c r="C27" s="15" t="s">
        <v>72</v>
      </c>
      <c r="D27" s="142" t="s">
        <v>63</v>
      </c>
      <c r="E27" s="143">
        <v>2.337</v>
      </c>
      <c r="F27" s="143">
        <f>$F$7</f>
        <v>40</v>
      </c>
      <c r="G27" s="143">
        <f>$G$7</f>
        <v>15</v>
      </c>
      <c r="H27" s="143">
        <f>$H$7</f>
        <v>0.8</v>
      </c>
      <c r="I27" s="17">
        <f>(F27+G27+H27)*$I$3</f>
        <v>5.58</v>
      </c>
      <c r="J27" s="18">
        <f>ROUND(SUM(F27:I27),2)</f>
        <v>61.38</v>
      </c>
      <c r="K27" s="19">
        <f>ROUND(J27*E27,2)</f>
        <v>143.45</v>
      </c>
      <c r="L27" s="135"/>
      <c r="M27" s="139"/>
      <c r="N27" s="139"/>
      <c r="O27" s="139"/>
      <c r="P27" s="37">
        <f>Q27+Q27*R27+S27+T27+U27</f>
        <v>55.8</v>
      </c>
      <c r="Q27" s="99">
        <f>$Q$7</f>
        <v>15</v>
      </c>
      <c r="R27" s="163">
        <f>$R$7</f>
        <v>0</v>
      </c>
      <c r="S27" s="99">
        <f>$S$7</f>
        <v>40</v>
      </c>
      <c r="T27" s="99">
        <f>$T$7</f>
        <v>0.5</v>
      </c>
      <c r="U27" s="99">
        <f>$U$7</f>
        <v>0.3</v>
      </c>
      <c r="V27" s="37">
        <f>P27*E27</f>
        <v>130.4046</v>
      </c>
      <c r="W27" s="139"/>
      <c r="X27" s="139"/>
      <c r="Y27" s="139"/>
      <c r="Z27" s="139"/>
      <c r="AA27" s="139"/>
      <c r="AB27" s="139"/>
      <c r="AC27" s="139"/>
      <c r="AD27" s="139"/>
      <c r="AE27" s="139"/>
      <c r="AF27" s="139"/>
      <c r="AG27" s="139"/>
      <c r="AH27" s="139"/>
      <c r="AI27" s="139"/>
      <c r="AJ27" s="139"/>
    </row>
    <row r="28" s="119" customFormat="1" ht="24" customHeight="1" outlineLevel="1" spans="1:36">
      <c r="A28" s="141"/>
      <c r="B28" s="14" t="s">
        <v>494</v>
      </c>
      <c r="C28" s="15"/>
      <c r="D28" s="142"/>
      <c r="E28" s="143"/>
      <c r="F28" s="143"/>
      <c r="G28" s="143"/>
      <c r="H28" s="143"/>
      <c r="I28" s="143"/>
      <c r="J28" s="143"/>
      <c r="K28" s="144"/>
      <c r="L28" s="135"/>
      <c r="M28" s="139"/>
      <c r="N28" s="139"/>
      <c r="O28" s="139"/>
      <c r="P28" s="137"/>
      <c r="Q28" s="137"/>
      <c r="R28" s="138"/>
      <c r="S28" s="137"/>
      <c r="T28" s="137"/>
      <c r="U28" s="137"/>
      <c r="V28" s="137"/>
      <c r="W28" s="139"/>
      <c r="X28" s="139"/>
      <c r="Y28" s="139"/>
      <c r="Z28" s="139"/>
      <c r="AA28" s="139"/>
      <c r="AB28" s="139"/>
      <c r="AC28" s="139"/>
      <c r="AD28" s="139"/>
      <c r="AE28" s="139"/>
      <c r="AF28" s="139"/>
      <c r="AG28" s="139"/>
      <c r="AH28" s="139"/>
      <c r="AI28" s="139"/>
      <c r="AJ28" s="139"/>
    </row>
    <row r="29" s="119" customFormat="1" ht="72" customHeight="1" outlineLevel="2" spans="1:36">
      <c r="A29" s="162">
        <f t="shared" ref="A29:A35" si="9">1+N(A28)</f>
        <v>1</v>
      </c>
      <c r="B29" s="164" t="s">
        <v>495</v>
      </c>
      <c r="C29" s="15" t="s">
        <v>496</v>
      </c>
      <c r="D29" s="142" t="s">
        <v>63</v>
      </c>
      <c r="E29" s="143">
        <v>2.738</v>
      </c>
      <c r="F29" s="143">
        <f>$F$9</f>
        <v>95</v>
      </c>
      <c r="G29" s="143">
        <f>$G$9</f>
        <v>890</v>
      </c>
      <c r="H29" s="143">
        <f>$H$9</f>
        <v>18.3</v>
      </c>
      <c r="I29" s="17">
        <f t="shared" ref="I29:I35" si="10">(F29+G29+H29)*$I$3</f>
        <v>100.33</v>
      </c>
      <c r="J29" s="18">
        <f t="shared" ref="J29:J35" si="11">ROUND(SUM(F29:I29),2)</f>
        <v>1103.63</v>
      </c>
      <c r="K29" s="19">
        <f t="shared" ref="K29:K35" si="12">ROUND(J29*E29,2)</f>
        <v>3021.74</v>
      </c>
      <c r="L29" s="135"/>
      <c r="M29" s="139"/>
      <c r="N29" s="139"/>
      <c r="O29" s="139"/>
      <c r="P29" s="37">
        <f t="shared" ref="P29:P35" si="13">Q29+Q29*R29+S29+T29+U29</f>
        <v>1003.3</v>
      </c>
      <c r="Q29" s="99">
        <f>$Q$9</f>
        <v>890</v>
      </c>
      <c r="R29" s="163">
        <f>$R$9</f>
        <v>0</v>
      </c>
      <c r="S29" s="99">
        <f>$S$9</f>
        <v>95</v>
      </c>
      <c r="T29" s="99">
        <f>$T$9</f>
        <v>16.8</v>
      </c>
      <c r="U29" s="99">
        <f>$U$9</f>
        <v>1.5</v>
      </c>
      <c r="V29" s="37">
        <f t="shared" ref="V29:V35" si="14">P29*E29</f>
        <v>2747.0354</v>
      </c>
      <c r="W29" s="139"/>
      <c r="X29" s="139"/>
      <c r="Y29" s="139"/>
      <c r="Z29" s="139"/>
      <c r="AA29" s="139"/>
      <c r="AB29" s="139"/>
      <c r="AC29" s="139"/>
      <c r="AD29" s="139"/>
      <c r="AE29" s="139"/>
      <c r="AF29" s="139"/>
      <c r="AG29" s="139"/>
      <c r="AH29" s="139"/>
      <c r="AI29" s="139"/>
      <c r="AJ29" s="139"/>
    </row>
    <row r="30" s="119" customFormat="1" ht="36" customHeight="1" outlineLevel="2" spans="1:36">
      <c r="A30" s="162">
        <f t="shared" si="9"/>
        <v>2</v>
      </c>
      <c r="B30" s="164" t="s">
        <v>131</v>
      </c>
      <c r="C30" s="15" t="s">
        <v>497</v>
      </c>
      <c r="D30" s="142" t="s">
        <v>63</v>
      </c>
      <c r="E30" s="143">
        <f>2.415+(0.547*1.05+0.037*2.13+0.054*1.05)*2</f>
        <v>3.83472</v>
      </c>
      <c r="F30" s="143">
        <f>$F$10</f>
        <v>110</v>
      </c>
      <c r="G30" s="143">
        <f>$G$10</f>
        <v>454.5</v>
      </c>
      <c r="H30" s="143">
        <f>$H$10</f>
        <v>55.2</v>
      </c>
      <c r="I30" s="17">
        <f t="shared" si="10"/>
        <v>61.97</v>
      </c>
      <c r="J30" s="18">
        <f t="shared" si="11"/>
        <v>681.67</v>
      </c>
      <c r="K30" s="19">
        <f t="shared" si="12"/>
        <v>2614.01</v>
      </c>
      <c r="L30" s="135"/>
      <c r="M30" s="139"/>
      <c r="N30" s="139"/>
      <c r="O30" s="139"/>
      <c r="P30" s="37">
        <f t="shared" si="13"/>
        <v>619.7</v>
      </c>
      <c r="Q30" s="99">
        <f>$Q$10</f>
        <v>450</v>
      </c>
      <c r="R30" s="163">
        <f>$R$10</f>
        <v>0.01</v>
      </c>
      <c r="S30" s="99">
        <f>$S$10</f>
        <v>110</v>
      </c>
      <c r="T30" s="99">
        <f>$T$10</f>
        <v>54</v>
      </c>
      <c r="U30" s="99">
        <f>$U$10</f>
        <v>1.2</v>
      </c>
      <c r="V30" s="37">
        <f t="shared" si="14"/>
        <v>2376.375984</v>
      </c>
      <c r="W30" s="139"/>
      <c r="X30" s="139"/>
      <c r="Y30" s="139"/>
      <c r="Z30" s="139"/>
      <c r="AA30" s="139"/>
      <c r="AB30" s="139"/>
      <c r="AC30" s="139"/>
      <c r="AD30" s="139"/>
      <c r="AE30" s="139"/>
      <c r="AF30" s="139"/>
      <c r="AG30" s="139"/>
      <c r="AH30" s="139"/>
      <c r="AI30" s="139"/>
      <c r="AJ30" s="139"/>
    </row>
    <row r="31" s="119" customFormat="1" ht="60" customHeight="1" outlineLevel="2" spans="1:36">
      <c r="A31" s="162">
        <f t="shared" si="9"/>
        <v>3</v>
      </c>
      <c r="B31" s="164" t="s">
        <v>498</v>
      </c>
      <c r="C31" s="15" t="s">
        <v>499</v>
      </c>
      <c r="D31" s="142" t="s">
        <v>63</v>
      </c>
      <c r="E31" s="143">
        <v>7.332</v>
      </c>
      <c r="F31" s="143">
        <f>$F$11</f>
        <v>35</v>
      </c>
      <c r="G31" s="143">
        <f>$G$11</f>
        <v>519.12</v>
      </c>
      <c r="H31" s="143">
        <f>$H$11</f>
        <v>54.7</v>
      </c>
      <c r="I31" s="17">
        <f t="shared" si="10"/>
        <v>60.882</v>
      </c>
      <c r="J31" s="18">
        <f t="shared" si="11"/>
        <v>669.7</v>
      </c>
      <c r="K31" s="19">
        <f t="shared" si="12"/>
        <v>4910.24</v>
      </c>
      <c r="L31" s="135"/>
      <c r="M31" s="139"/>
      <c r="N31" s="139"/>
      <c r="O31" s="139"/>
      <c r="P31" s="37">
        <f t="shared" si="13"/>
        <v>608.82</v>
      </c>
      <c r="Q31" s="99">
        <f>$Q$11</f>
        <v>504</v>
      </c>
      <c r="R31" s="163">
        <f>$R$11</f>
        <v>0.03</v>
      </c>
      <c r="S31" s="99">
        <f>$S$11</f>
        <v>35</v>
      </c>
      <c r="T31" s="99">
        <f>$T$11</f>
        <v>53.5</v>
      </c>
      <c r="U31" s="99">
        <f>$U$11</f>
        <v>1.2</v>
      </c>
      <c r="V31" s="37">
        <f t="shared" si="14"/>
        <v>4463.86824</v>
      </c>
      <c r="W31" s="139"/>
      <c r="X31" s="139"/>
      <c r="Y31" s="139"/>
      <c r="Z31" s="139"/>
      <c r="AA31" s="139"/>
      <c r="AB31" s="139"/>
      <c r="AC31" s="139"/>
      <c r="AD31" s="139"/>
      <c r="AE31" s="139"/>
      <c r="AF31" s="139"/>
      <c r="AG31" s="139"/>
      <c r="AH31" s="139"/>
      <c r="AI31" s="139"/>
      <c r="AJ31" s="139"/>
    </row>
    <row r="32" s="119" customFormat="1" ht="48" customHeight="1" outlineLevel="2" spans="1:36">
      <c r="A32" s="162">
        <f t="shared" si="9"/>
        <v>4</v>
      </c>
      <c r="B32" s="165" t="s">
        <v>500</v>
      </c>
      <c r="C32" s="166" t="s">
        <v>501</v>
      </c>
      <c r="D32" s="165" t="s">
        <v>70</v>
      </c>
      <c r="E32" s="143">
        <v>4.47</v>
      </c>
      <c r="F32" s="143">
        <f>$F$12</f>
        <v>12</v>
      </c>
      <c r="G32" s="143">
        <f>$G$12</f>
        <v>25.75</v>
      </c>
      <c r="H32" s="143">
        <f>$H$12</f>
        <v>3.8</v>
      </c>
      <c r="I32" s="17">
        <f t="shared" si="10"/>
        <v>4.155</v>
      </c>
      <c r="J32" s="18">
        <f t="shared" si="11"/>
        <v>45.71</v>
      </c>
      <c r="K32" s="19">
        <f t="shared" si="12"/>
        <v>204.32</v>
      </c>
      <c r="L32" s="135"/>
      <c r="M32" s="139"/>
      <c r="N32" s="139"/>
      <c r="O32" s="139"/>
      <c r="P32" s="37">
        <f t="shared" si="13"/>
        <v>41.55</v>
      </c>
      <c r="Q32" s="99">
        <f>$Q$12</f>
        <v>25</v>
      </c>
      <c r="R32" s="163">
        <f>$R$12</f>
        <v>0.03</v>
      </c>
      <c r="S32" s="99">
        <f>$S$12</f>
        <v>12</v>
      </c>
      <c r="T32" s="99">
        <f>$T$12</f>
        <v>3.5</v>
      </c>
      <c r="U32" s="99">
        <f>$U$12</f>
        <v>0.3</v>
      </c>
      <c r="V32" s="37">
        <f t="shared" si="14"/>
        <v>185.7285</v>
      </c>
      <c r="W32" s="139"/>
      <c r="X32" s="139"/>
      <c r="Y32" s="139"/>
      <c r="Z32" s="139"/>
      <c r="AA32" s="139"/>
      <c r="AB32" s="139"/>
      <c r="AC32" s="139"/>
      <c r="AD32" s="139"/>
      <c r="AE32" s="139"/>
      <c r="AF32" s="139"/>
      <c r="AG32" s="139"/>
      <c r="AH32" s="139"/>
      <c r="AI32" s="139"/>
      <c r="AJ32" s="139"/>
    </row>
    <row r="33" s="119" customFormat="1" ht="36" customHeight="1" outlineLevel="2" spans="1:36">
      <c r="A33" s="162">
        <f t="shared" si="9"/>
        <v>5</v>
      </c>
      <c r="B33" s="165" t="s">
        <v>502</v>
      </c>
      <c r="C33" s="166" t="s">
        <v>503</v>
      </c>
      <c r="D33" s="165" t="s">
        <v>70</v>
      </c>
      <c r="E33" s="143">
        <v>5.17</v>
      </c>
      <c r="F33" s="143">
        <f>$F$13</f>
        <v>12</v>
      </c>
      <c r="G33" s="143">
        <f>$G$13</f>
        <v>37.3375</v>
      </c>
      <c r="H33" s="143">
        <f>$H$13</f>
        <v>3.8</v>
      </c>
      <c r="I33" s="17">
        <f t="shared" si="10"/>
        <v>5.31375</v>
      </c>
      <c r="J33" s="18">
        <f t="shared" si="11"/>
        <v>58.45</v>
      </c>
      <c r="K33" s="19">
        <f t="shared" si="12"/>
        <v>302.19</v>
      </c>
      <c r="L33" s="135"/>
      <c r="M33" s="139"/>
      <c r="N33" s="139"/>
      <c r="O33" s="139"/>
      <c r="P33" s="37">
        <f t="shared" si="13"/>
        <v>53.1375</v>
      </c>
      <c r="Q33" s="99">
        <f>$Q$13</f>
        <v>36.25</v>
      </c>
      <c r="R33" s="163">
        <f>$R$13</f>
        <v>0.03</v>
      </c>
      <c r="S33" s="99">
        <f>$S$13</f>
        <v>12</v>
      </c>
      <c r="T33" s="99">
        <f>$T$13</f>
        <v>3.5</v>
      </c>
      <c r="U33" s="99">
        <f>$U$13</f>
        <v>0.3</v>
      </c>
      <c r="V33" s="37">
        <f t="shared" si="14"/>
        <v>274.720875</v>
      </c>
      <c r="W33" s="139"/>
      <c r="X33" s="139"/>
      <c r="Y33" s="139"/>
      <c r="Z33" s="139"/>
      <c r="AA33" s="139"/>
      <c r="AB33" s="139"/>
      <c r="AC33" s="139"/>
      <c r="AD33" s="139"/>
      <c r="AE33" s="139"/>
      <c r="AF33" s="139"/>
      <c r="AG33" s="139"/>
      <c r="AH33" s="139"/>
      <c r="AI33" s="139"/>
      <c r="AJ33" s="139"/>
    </row>
    <row r="34" s="119" customFormat="1" ht="36" customHeight="1" outlineLevel="2" spans="1:36">
      <c r="A34" s="162">
        <f t="shared" si="9"/>
        <v>6</v>
      </c>
      <c r="B34" s="165" t="s">
        <v>504</v>
      </c>
      <c r="C34" s="166" t="s">
        <v>505</v>
      </c>
      <c r="D34" s="165" t="s">
        <v>70</v>
      </c>
      <c r="E34" s="143">
        <v>5.17</v>
      </c>
      <c r="F34" s="143">
        <f>$F$14</f>
        <v>15</v>
      </c>
      <c r="G34" s="143">
        <f>$G$14</f>
        <v>18.7975</v>
      </c>
      <c r="H34" s="143">
        <f>$H$14</f>
        <v>3.8</v>
      </c>
      <c r="I34" s="17">
        <f t="shared" si="10"/>
        <v>3.75975</v>
      </c>
      <c r="J34" s="18">
        <f t="shared" si="11"/>
        <v>41.36</v>
      </c>
      <c r="K34" s="19">
        <f t="shared" si="12"/>
        <v>213.83</v>
      </c>
      <c r="L34" s="135"/>
      <c r="M34" s="139"/>
      <c r="N34" s="139"/>
      <c r="O34" s="139"/>
      <c r="P34" s="37">
        <f t="shared" si="13"/>
        <v>37.5975</v>
      </c>
      <c r="Q34" s="99">
        <f>$Q$14</f>
        <v>18.25</v>
      </c>
      <c r="R34" s="163">
        <f>$R$14</f>
        <v>0.03</v>
      </c>
      <c r="S34" s="99">
        <f>$S$14</f>
        <v>15</v>
      </c>
      <c r="T34" s="99">
        <f>$T$14</f>
        <v>3.5</v>
      </c>
      <c r="U34" s="99">
        <f>$U$14</f>
        <v>0.3</v>
      </c>
      <c r="V34" s="37">
        <f t="shared" si="14"/>
        <v>194.379075</v>
      </c>
      <c r="W34" s="139"/>
      <c r="X34" s="139"/>
      <c r="Y34" s="139"/>
      <c r="Z34" s="139"/>
      <c r="AA34" s="139"/>
      <c r="AB34" s="139"/>
      <c r="AC34" s="139"/>
      <c r="AD34" s="139"/>
      <c r="AE34" s="139"/>
      <c r="AF34" s="139"/>
      <c r="AG34" s="139"/>
      <c r="AH34" s="139"/>
      <c r="AI34" s="139"/>
      <c r="AJ34" s="139"/>
    </row>
    <row r="35" s="119" customFormat="1" ht="48" customHeight="1" outlineLevel="2" spans="1:36">
      <c r="A35" s="162">
        <f t="shared" si="9"/>
        <v>7</v>
      </c>
      <c r="B35" s="165" t="s">
        <v>506</v>
      </c>
      <c r="C35" s="166" t="s">
        <v>507</v>
      </c>
      <c r="D35" s="165" t="s">
        <v>70</v>
      </c>
      <c r="E35" s="143">
        <f>6.78+3.394+10.06+2.585*2</f>
        <v>25.404</v>
      </c>
      <c r="F35" s="143">
        <f>$F$15</f>
        <v>12</v>
      </c>
      <c r="G35" s="143">
        <f>$G$15</f>
        <v>37.3375</v>
      </c>
      <c r="H35" s="143">
        <f>$H$15</f>
        <v>3.8</v>
      </c>
      <c r="I35" s="17">
        <f t="shared" si="10"/>
        <v>5.31375</v>
      </c>
      <c r="J35" s="18">
        <f t="shared" si="11"/>
        <v>58.45</v>
      </c>
      <c r="K35" s="19">
        <f t="shared" si="12"/>
        <v>1484.86</v>
      </c>
      <c r="L35" s="135"/>
      <c r="M35" s="139"/>
      <c r="N35" s="139"/>
      <c r="O35" s="139"/>
      <c r="P35" s="37">
        <f t="shared" si="13"/>
        <v>53.1375</v>
      </c>
      <c r="Q35" s="99">
        <f>$Q$15</f>
        <v>36.25</v>
      </c>
      <c r="R35" s="163">
        <f>$R$15</f>
        <v>0.03</v>
      </c>
      <c r="S35" s="99">
        <f>$S$15</f>
        <v>12</v>
      </c>
      <c r="T35" s="99">
        <f>$T$15</f>
        <v>3.5</v>
      </c>
      <c r="U35" s="99">
        <f>$U$15</f>
        <v>0.3</v>
      </c>
      <c r="V35" s="37">
        <f t="shared" si="14"/>
        <v>1349.90505</v>
      </c>
      <c r="W35" s="139"/>
      <c r="X35" s="139"/>
      <c r="Y35" s="139"/>
      <c r="Z35" s="139"/>
      <c r="AA35" s="139"/>
      <c r="AB35" s="139"/>
      <c r="AC35" s="139"/>
      <c r="AD35" s="139"/>
      <c r="AE35" s="139"/>
      <c r="AF35" s="139"/>
      <c r="AG35" s="139"/>
      <c r="AH35" s="139"/>
      <c r="AI35" s="139"/>
      <c r="AJ35" s="139"/>
    </row>
    <row r="36" s="119" customFormat="1" ht="24" customHeight="1" outlineLevel="1" spans="1:36">
      <c r="A36" s="141"/>
      <c r="B36" s="14" t="s">
        <v>101</v>
      </c>
      <c r="C36" s="15"/>
      <c r="D36" s="142"/>
      <c r="E36" s="143"/>
      <c r="F36" s="143"/>
      <c r="G36" s="143"/>
      <c r="H36" s="143"/>
      <c r="I36" s="143"/>
      <c r="J36" s="143"/>
      <c r="K36" s="144"/>
      <c r="L36" s="135"/>
      <c r="M36" s="139"/>
      <c r="N36" s="139"/>
      <c r="O36" s="139"/>
      <c r="P36" s="137"/>
      <c r="Q36" s="137"/>
      <c r="R36" s="138"/>
      <c r="S36" s="137"/>
      <c r="T36" s="137"/>
      <c r="U36" s="137"/>
      <c r="V36" s="137"/>
      <c r="W36" s="139"/>
      <c r="X36" s="139"/>
      <c r="Y36" s="139"/>
      <c r="Z36" s="139"/>
      <c r="AA36" s="139"/>
      <c r="AB36" s="139"/>
      <c r="AC36" s="139"/>
      <c r="AD36" s="139"/>
      <c r="AE36" s="139"/>
      <c r="AF36" s="139"/>
      <c r="AG36" s="139"/>
      <c r="AH36" s="139"/>
      <c r="AI36" s="139"/>
      <c r="AJ36" s="139"/>
    </row>
    <row r="37" s="119" customFormat="1" ht="84" customHeight="1" outlineLevel="2" spans="1:36">
      <c r="A37" s="162">
        <f>1+N(A36)</f>
        <v>1</v>
      </c>
      <c r="B37" s="14" t="s">
        <v>385</v>
      </c>
      <c r="C37" s="167" t="s">
        <v>386</v>
      </c>
      <c r="D37" s="142" t="s">
        <v>63</v>
      </c>
      <c r="E37" s="143">
        <v>2.096</v>
      </c>
      <c r="F37" s="143">
        <f>$F$17</f>
        <v>110</v>
      </c>
      <c r="G37" s="143">
        <f>$G$17</f>
        <v>454.5</v>
      </c>
      <c r="H37" s="143">
        <f>$H$17</f>
        <v>40.997</v>
      </c>
      <c r="I37" s="17">
        <f>(F37+G37+H37)*$I$3</f>
        <v>60.5497</v>
      </c>
      <c r="J37" s="18">
        <f>ROUND(SUM(F37:I37),2)</f>
        <v>666.05</v>
      </c>
      <c r="K37" s="19">
        <f>ROUND(J37*E37,2)</f>
        <v>1396.04</v>
      </c>
      <c r="L37" s="135"/>
      <c r="M37" s="139"/>
      <c r="N37" s="139"/>
      <c r="O37" s="139"/>
      <c r="P37" s="37">
        <f>Q37+Q37*R37+S37+T37+U37</f>
        <v>605.497</v>
      </c>
      <c r="Q37" s="99">
        <f>$Q$17</f>
        <v>450</v>
      </c>
      <c r="R37" s="163">
        <f>$R$17</f>
        <v>0.01</v>
      </c>
      <c r="S37" s="99">
        <f>$S$17</f>
        <v>110</v>
      </c>
      <c r="T37" s="99">
        <f>$T$17</f>
        <v>38.997</v>
      </c>
      <c r="U37" s="99">
        <f>$U$17</f>
        <v>2</v>
      </c>
      <c r="V37" s="37">
        <f>P37*E37</f>
        <v>1269.121712</v>
      </c>
      <c r="W37" s="139"/>
      <c r="X37" s="139"/>
      <c r="Y37" s="139"/>
      <c r="Z37" s="139"/>
      <c r="AA37" s="139"/>
      <c r="AB37" s="139"/>
      <c r="AC37" s="139"/>
      <c r="AD37" s="139"/>
      <c r="AE37" s="139"/>
      <c r="AF37" s="139"/>
      <c r="AG37" s="139"/>
      <c r="AH37" s="139"/>
      <c r="AI37" s="139"/>
      <c r="AJ37" s="139"/>
    </row>
    <row r="38" s="119" customFormat="1" ht="72" customHeight="1" outlineLevel="2" spans="1:36">
      <c r="A38" s="162">
        <f>1+N(A37)</f>
        <v>2</v>
      </c>
      <c r="B38" s="14" t="s">
        <v>508</v>
      </c>
      <c r="C38" s="167" t="s">
        <v>509</v>
      </c>
      <c r="D38" s="142" t="s">
        <v>70</v>
      </c>
      <c r="E38" s="143">
        <v>5.26</v>
      </c>
      <c r="F38" s="143">
        <f>$F$18</f>
        <v>50</v>
      </c>
      <c r="G38" s="143">
        <f>$G$18</f>
        <v>0</v>
      </c>
      <c r="H38" s="143">
        <f>$H$18</f>
        <v>22.0941</v>
      </c>
      <c r="I38" s="17">
        <f>(F38+G38+H38)*$I$3</f>
        <v>7.20941</v>
      </c>
      <c r="J38" s="18">
        <f>ROUND(SUM(F38:I38),2)</f>
        <v>79.3</v>
      </c>
      <c r="K38" s="19">
        <f>ROUND(J38*E38,2)</f>
        <v>417.12</v>
      </c>
      <c r="L38" s="135"/>
      <c r="M38" s="139"/>
      <c r="N38" s="139"/>
      <c r="O38" s="139"/>
      <c r="P38" s="37">
        <f>Q38+Q38*R38+S38+T38+U38</f>
        <v>72.0941</v>
      </c>
      <c r="Q38" s="99">
        <f>$Q$18</f>
        <v>0</v>
      </c>
      <c r="R38" s="163">
        <f>$R$18</f>
        <v>0.01</v>
      </c>
      <c r="S38" s="99">
        <f>$S$18</f>
        <v>50</v>
      </c>
      <c r="T38" s="99">
        <f>$T$18</f>
        <v>22.0941</v>
      </c>
      <c r="U38" s="99">
        <f>$U$18</f>
        <v>0</v>
      </c>
      <c r="V38" s="37">
        <f>P38*E38</f>
        <v>379.214966</v>
      </c>
      <c r="W38" s="139"/>
      <c r="X38" s="139"/>
      <c r="Y38" s="139"/>
      <c r="Z38" s="139"/>
      <c r="AA38" s="139"/>
      <c r="AB38" s="139"/>
      <c r="AC38" s="139"/>
      <c r="AD38" s="139"/>
      <c r="AE38" s="139"/>
      <c r="AF38" s="139"/>
      <c r="AG38" s="139"/>
      <c r="AH38" s="139"/>
      <c r="AI38" s="139"/>
      <c r="AJ38" s="139"/>
    </row>
    <row r="39" s="119" customFormat="1" ht="72" customHeight="1" outlineLevel="2" spans="1:36">
      <c r="A39" s="162">
        <f>1+N(A38)</f>
        <v>3</v>
      </c>
      <c r="B39" s="14" t="s">
        <v>510</v>
      </c>
      <c r="C39" s="15" t="s">
        <v>511</v>
      </c>
      <c r="D39" s="142" t="s">
        <v>70</v>
      </c>
      <c r="E39" s="143">
        <f>1.25*2</f>
        <v>2.5</v>
      </c>
      <c r="F39" s="143">
        <f>$F$19</f>
        <v>30</v>
      </c>
      <c r="G39" s="143">
        <f>$G$19</f>
        <v>65.6625</v>
      </c>
      <c r="H39" s="143">
        <f>$H$19</f>
        <v>2.7</v>
      </c>
      <c r="I39" s="17">
        <f>(F39+G39+H39)*$I$3</f>
        <v>9.83625</v>
      </c>
      <c r="J39" s="18">
        <f>ROUND(SUM(F39:I39),2)</f>
        <v>108.2</v>
      </c>
      <c r="K39" s="19">
        <f>ROUND(J39*E39,2)</f>
        <v>270.5</v>
      </c>
      <c r="L39" s="135"/>
      <c r="M39" s="139"/>
      <c r="N39" s="139"/>
      <c r="O39" s="139"/>
      <c r="P39" s="37">
        <f>Q39+Q39*R39+S39+T39+U39</f>
        <v>98.3625</v>
      </c>
      <c r="Q39" s="99">
        <f>$Q$19</f>
        <v>63.75</v>
      </c>
      <c r="R39" s="163">
        <f>$R$19</f>
        <v>0.03</v>
      </c>
      <c r="S39" s="99">
        <f>$S$19</f>
        <v>30</v>
      </c>
      <c r="T39" s="99">
        <f>$T$19</f>
        <v>2.5</v>
      </c>
      <c r="U39" s="99">
        <f>$U$19</f>
        <v>0.2</v>
      </c>
      <c r="V39" s="37">
        <f>P39*E39</f>
        <v>245.90625</v>
      </c>
      <c r="W39" s="139"/>
      <c r="X39" s="139"/>
      <c r="Y39" s="139"/>
      <c r="Z39" s="139"/>
      <c r="AA39" s="139"/>
      <c r="AB39" s="139"/>
      <c r="AC39" s="139"/>
      <c r="AD39" s="139"/>
      <c r="AE39" s="139"/>
      <c r="AF39" s="139"/>
      <c r="AG39" s="139"/>
      <c r="AH39" s="139"/>
      <c r="AI39" s="139"/>
      <c r="AJ39" s="139"/>
    </row>
    <row r="40" s="119" customFormat="1" ht="72" customHeight="1" outlineLevel="2" spans="1:36">
      <c r="A40" s="162">
        <f>1+N(A39)</f>
        <v>4</v>
      </c>
      <c r="B40" s="14" t="s">
        <v>110</v>
      </c>
      <c r="C40" s="15" t="s">
        <v>111</v>
      </c>
      <c r="D40" s="142" t="s">
        <v>63</v>
      </c>
      <c r="E40" s="143">
        <v>1.146</v>
      </c>
      <c r="F40" s="143">
        <f>$F$20</f>
        <v>45</v>
      </c>
      <c r="G40" s="143">
        <f>$G$20</f>
        <v>85.5</v>
      </c>
      <c r="H40" s="143">
        <f>$H$20</f>
        <v>7.3</v>
      </c>
      <c r="I40" s="17">
        <f>(F40+G40+H40)*$I$3</f>
        <v>13.78</v>
      </c>
      <c r="J40" s="18">
        <f>ROUND(SUM(F40:I40),2)</f>
        <v>151.58</v>
      </c>
      <c r="K40" s="19">
        <f>ROUND(J40*E40,2)</f>
        <v>173.71</v>
      </c>
      <c r="L40" s="135"/>
      <c r="M40" s="139"/>
      <c r="N40" s="139"/>
      <c r="O40" s="139"/>
      <c r="P40" s="37">
        <f>Q40+Q40*R40+S40+T40+U40</f>
        <v>137.8</v>
      </c>
      <c r="Q40" s="99">
        <f>$Q$20</f>
        <v>85.5</v>
      </c>
      <c r="R40" s="163">
        <f>$R$20</f>
        <v>0</v>
      </c>
      <c r="S40" s="99">
        <f>$S$20</f>
        <v>45</v>
      </c>
      <c r="T40" s="99">
        <f>$T$20</f>
        <v>6.5</v>
      </c>
      <c r="U40" s="99">
        <f>$U$20</f>
        <v>0.8</v>
      </c>
      <c r="V40" s="37">
        <f>P40*E40</f>
        <v>157.9188</v>
      </c>
      <c r="W40" s="139"/>
      <c r="X40" s="139"/>
      <c r="Y40" s="139"/>
      <c r="Z40" s="139"/>
      <c r="AA40" s="139"/>
      <c r="AB40" s="139"/>
      <c r="AC40" s="139"/>
      <c r="AD40" s="139"/>
      <c r="AE40" s="139"/>
      <c r="AF40" s="139"/>
      <c r="AG40" s="139"/>
      <c r="AH40" s="139"/>
      <c r="AI40" s="139"/>
      <c r="AJ40" s="139"/>
    </row>
    <row r="41" s="119" customFormat="1" ht="72" customHeight="1" outlineLevel="2" spans="1:36">
      <c r="A41" s="162">
        <f>1+N(A40)</f>
        <v>5</v>
      </c>
      <c r="B41" s="14" t="s">
        <v>512</v>
      </c>
      <c r="C41" s="166" t="s">
        <v>513</v>
      </c>
      <c r="D41" s="142" t="s">
        <v>70</v>
      </c>
      <c r="E41" s="143">
        <v>2.46</v>
      </c>
      <c r="F41" s="143">
        <f>$F$21</f>
        <v>12</v>
      </c>
      <c r="G41" s="143">
        <f>$G$21</f>
        <v>30.385</v>
      </c>
      <c r="H41" s="143">
        <f>$H$21</f>
        <v>3.8</v>
      </c>
      <c r="I41" s="17">
        <f>(F41+G41+H41)*$I$3</f>
        <v>4.6185</v>
      </c>
      <c r="J41" s="18">
        <f>ROUND(SUM(F41:I41),2)</f>
        <v>50.8</v>
      </c>
      <c r="K41" s="19">
        <f>ROUND(J41*E41,2)</f>
        <v>124.97</v>
      </c>
      <c r="L41" s="135"/>
      <c r="M41" s="139"/>
      <c r="N41" s="139"/>
      <c r="O41" s="139"/>
      <c r="P41" s="37">
        <f>Q41+Q41*R41+S41+T41+U41</f>
        <v>46.185</v>
      </c>
      <c r="Q41" s="99">
        <f>$Q$21</f>
        <v>29.5</v>
      </c>
      <c r="R41" s="163">
        <f>$R$21</f>
        <v>0.03</v>
      </c>
      <c r="S41" s="99">
        <f>$S$21</f>
        <v>12</v>
      </c>
      <c r="T41" s="99">
        <f>$T$21</f>
        <v>3.5</v>
      </c>
      <c r="U41" s="99">
        <f>$U$21</f>
        <v>0.3</v>
      </c>
      <c r="V41" s="37">
        <f>P41*E41</f>
        <v>113.6151</v>
      </c>
      <c r="W41" s="139"/>
      <c r="X41" s="139"/>
      <c r="Y41" s="139"/>
      <c r="Z41" s="139"/>
      <c r="AA41" s="139"/>
      <c r="AB41" s="139"/>
      <c r="AC41" s="139"/>
      <c r="AD41" s="139"/>
      <c r="AE41" s="139"/>
      <c r="AF41" s="139"/>
      <c r="AG41" s="139"/>
      <c r="AH41" s="139"/>
      <c r="AI41" s="139"/>
      <c r="AJ41" s="139"/>
    </row>
    <row r="42" s="119" customFormat="1" ht="24" customHeight="1" outlineLevel="1" spans="1:36">
      <c r="A42" s="141"/>
      <c r="B42" s="14" t="s">
        <v>112</v>
      </c>
      <c r="C42" s="15"/>
      <c r="D42" s="142"/>
      <c r="E42" s="143"/>
      <c r="F42" s="143"/>
      <c r="G42" s="143"/>
      <c r="H42" s="143"/>
      <c r="I42" s="143"/>
      <c r="J42" s="143"/>
      <c r="K42" s="144"/>
      <c r="L42" s="135"/>
      <c r="M42" s="139"/>
      <c r="N42" s="139"/>
      <c r="O42" s="139"/>
      <c r="P42" s="137"/>
      <c r="Q42" s="137"/>
      <c r="R42" s="138"/>
      <c r="S42" s="137"/>
      <c r="T42" s="137"/>
      <c r="U42" s="137"/>
      <c r="V42" s="137"/>
      <c r="W42" s="139"/>
      <c r="X42" s="139"/>
      <c r="Y42" s="139"/>
      <c r="Z42" s="139"/>
      <c r="AA42" s="139"/>
      <c r="AB42" s="139"/>
      <c r="AC42" s="139"/>
      <c r="AD42" s="139"/>
      <c r="AE42" s="139"/>
      <c r="AF42" s="139"/>
      <c r="AG42" s="139"/>
      <c r="AH42" s="139"/>
      <c r="AI42" s="139"/>
      <c r="AJ42" s="139"/>
    </row>
    <row r="43" s="119" customFormat="1" ht="36" customHeight="1" outlineLevel="2" spans="1:36">
      <c r="A43" s="162">
        <f>1+N(A42)</f>
        <v>1</v>
      </c>
      <c r="B43" s="146" t="s">
        <v>514</v>
      </c>
      <c r="C43" s="15" t="s">
        <v>515</v>
      </c>
      <c r="D43" s="142" t="s">
        <v>70</v>
      </c>
      <c r="E43" s="143">
        <f>1.04*2</f>
        <v>2.08</v>
      </c>
      <c r="F43" s="143">
        <f>$F$23</f>
        <v>35</v>
      </c>
      <c r="G43" s="143">
        <f>$G$23</f>
        <v>335</v>
      </c>
      <c r="H43" s="143">
        <f>$H$23</f>
        <v>17</v>
      </c>
      <c r="I43" s="17">
        <f>(F43+G43+H43)*$I$3</f>
        <v>38.7</v>
      </c>
      <c r="J43" s="18">
        <f>ROUND(SUM(F43:I43),2)</f>
        <v>425.7</v>
      </c>
      <c r="K43" s="19">
        <f>ROUND(J43*E43,2)</f>
        <v>885.46</v>
      </c>
      <c r="L43" s="135"/>
      <c r="M43" s="139"/>
      <c r="N43" s="139"/>
      <c r="O43" s="139"/>
      <c r="P43" s="37">
        <f>Q43+Q43*R43+S43+T43+U43</f>
        <v>387</v>
      </c>
      <c r="Q43" s="99">
        <f>$Q$23</f>
        <v>335</v>
      </c>
      <c r="R43" s="163">
        <f>$R$23</f>
        <v>0</v>
      </c>
      <c r="S43" s="99">
        <f>$S$23</f>
        <v>35</v>
      </c>
      <c r="T43" s="99">
        <f>$T$23</f>
        <v>15</v>
      </c>
      <c r="U43" s="99">
        <f>$U$23</f>
        <v>2</v>
      </c>
      <c r="V43" s="37">
        <f>P43*E43</f>
        <v>804.96</v>
      </c>
      <c r="W43" s="139"/>
      <c r="X43" s="139"/>
      <c r="Y43" s="139"/>
      <c r="Z43" s="139"/>
      <c r="AA43" s="139"/>
      <c r="AB43" s="139"/>
      <c r="AC43" s="139"/>
      <c r="AD43" s="139"/>
      <c r="AE43" s="139"/>
      <c r="AF43" s="139"/>
      <c r="AG43" s="139"/>
      <c r="AH43" s="139"/>
      <c r="AI43" s="139"/>
      <c r="AJ43" s="139"/>
    </row>
    <row r="44" s="2" customFormat="1" ht="24" customHeight="1" spans="1:36">
      <c r="A44" s="8"/>
      <c r="B44" s="8" t="s">
        <v>493</v>
      </c>
      <c r="C44" s="8"/>
      <c r="D44" s="8"/>
      <c r="E44" s="128"/>
      <c r="F44" s="128"/>
      <c r="G44" s="128"/>
      <c r="H44" s="128"/>
      <c r="I44" s="128"/>
      <c r="J44" s="128"/>
      <c r="K44" s="11">
        <f>+K4+K24</f>
        <v>36427.25</v>
      </c>
      <c r="L44" s="135"/>
      <c r="M44" s="130"/>
      <c r="N44" s="130"/>
      <c r="O44" s="130"/>
      <c r="P44" s="130"/>
      <c r="Q44" s="130"/>
      <c r="R44" s="171"/>
      <c r="S44" s="130"/>
      <c r="T44" s="130"/>
      <c r="U44" s="130"/>
      <c r="V44" s="130"/>
      <c r="W44" s="130"/>
      <c r="X44" s="130"/>
      <c r="Y44" s="130"/>
      <c r="Z44" s="130"/>
      <c r="AA44" s="130"/>
      <c r="AB44" s="130"/>
      <c r="AC44" s="130"/>
      <c r="AD44" s="130"/>
      <c r="AE44" s="130"/>
      <c r="AF44" s="130"/>
      <c r="AG44" s="130"/>
      <c r="AH44" s="130"/>
      <c r="AI44" s="130"/>
      <c r="AJ44" s="130"/>
    </row>
  </sheetData>
  <autoFilter xmlns:etc="http://www.wps.cn/officeDocument/2017/etCustomData" ref="A2:AI44" etc:filterBottomFollowUsedRange="0">
    <extLst/>
  </autoFilter>
  <mergeCells count="12">
    <mergeCell ref="A1:L1"/>
    <mergeCell ref="A2:A3"/>
    <mergeCell ref="B2:B3"/>
    <mergeCell ref="C2:C3"/>
    <mergeCell ref="D2:D3"/>
    <mergeCell ref="E2:E3"/>
    <mergeCell ref="F2:F3"/>
    <mergeCell ref="G2:G3"/>
    <mergeCell ref="H2:H3"/>
    <mergeCell ref="J2:J3"/>
    <mergeCell ref="K2:K3"/>
    <mergeCell ref="L2:L3"/>
  </mergeCells>
  <conditionalFormatting sqref="B5">
    <cfRule type="duplicateValues" dxfId="0" priority="30"/>
  </conditionalFormatting>
  <conditionalFormatting sqref="B6">
    <cfRule type="duplicateValues" dxfId="0" priority="29"/>
  </conditionalFormatting>
  <conditionalFormatting sqref="B7">
    <cfRule type="duplicateValues" dxfId="0" priority="28"/>
  </conditionalFormatting>
  <conditionalFormatting sqref="B8">
    <cfRule type="duplicateValues" dxfId="0" priority="27"/>
  </conditionalFormatting>
  <conditionalFormatting sqref="B11">
    <cfRule type="duplicateValues" dxfId="0" priority="23"/>
  </conditionalFormatting>
  <conditionalFormatting sqref="B12">
    <cfRule type="duplicateValues" dxfId="0" priority="24"/>
  </conditionalFormatting>
  <conditionalFormatting sqref="B15">
    <cfRule type="duplicateValues" dxfId="0" priority="18"/>
  </conditionalFormatting>
  <conditionalFormatting sqref="B16">
    <cfRule type="duplicateValues" dxfId="0" priority="22"/>
  </conditionalFormatting>
  <conditionalFormatting sqref="B17">
    <cfRule type="duplicateValues" dxfId="0" priority="20"/>
  </conditionalFormatting>
  <conditionalFormatting sqref="B18">
    <cfRule type="duplicateValues" dxfId="0" priority="19"/>
  </conditionalFormatting>
  <conditionalFormatting sqref="B22">
    <cfRule type="duplicateValues" dxfId="0" priority="17"/>
  </conditionalFormatting>
  <conditionalFormatting sqref="B23">
    <cfRule type="duplicateValues" dxfId="0" priority="16"/>
  </conditionalFormatting>
  <conditionalFormatting sqref="B24">
    <cfRule type="duplicateValues" dxfId="0" priority="31"/>
  </conditionalFormatting>
  <conditionalFormatting sqref="B25">
    <cfRule type="duplicateValues" dxfId="0" priority="15"/>
  </conditionalFormatting>
  <conditionalFormatting sqref="B26">
    <cfRule type="duplicateValues" dxfId="0" priority="14"/>
  </conditionalFormatting>
  <conditionalFormatting sqref="B27">
    <cfRule type="duplicateValues" dxfId="0" priority="13"/>
  </conditionalFormatting>
  <conditionalFormatting sqref="B28">
    <cfRule type="duplicateValues" dxfId="0" priority="12"/>
  </conditionalFormatting>
  <conditionalFormatting sqref="B31">
    <cfRule type="duplicateValues" dxfId="0" priority="8"/>
  </conditionalFormatting>
  <conditionalFormatting sqref="B32">
    <cfRule type="duplicateValues" dxfId="0" priority="9"/>
  </conditionalFormatting>
  <conditionalFormatting sqref="B35">
    <cfRule type="duplicateValues" dxfId="0" priority="3"/>
  </conditionalFormatting>
  <conditionalFormatting sqref="B36">
    <cfRule type="duplicateValues" dxfId="0" priority="7"/>
  </conditionalFormatting>
  <conditionalFormatting sqref="B37">
    <cfRule type="duplicateValues" dxfId="0" priority="5"/>
  </conditionalFormatting>
  <conditionalFormatting sqref="B38">
    <cfRule type="duplicateValues" dxfId="0" priority="4"/>
  </conditionalFormatting>
  <conditionalFormatting sqref="B42">
    <cfRule type="duplicateValues" dxfId="0" priority="2"/>
  </conditionalFormatting>
  <conditionalFormatting sqref="B43">
    <cfRule type="duplicateValues" dxfId="0" priority="1"/>
  </conditionalFormatting>
  <conditionalFormatting sqref="B44">
    <cfRule type="duplicateValues" dxfId="0" priority="32"/>
  </conditionalFormatting>
  <conditionalFormatting sqref="B9:B10">
    <cfRule type="duplicateValues" dxfId="0" priority="26"/>
  </conditionalFormatting>
  <conditionalFormatting sqref="B13:B14">
    <cfRule type="duplicateValues" dxfId="0" priority="25"/>
  </conditionalFormatting>
  <conditionalFormatting sqref="B19:B21">
    <cfRule type="duplicateValues" dxfId="0" priority="21"/>
  </conditionalFormatting>
  <conditionalFormatting sqref="B29:B30">
    <cfRule type="duplicateValues" dxfId="0" priority="11"/>
  </conditionalFormatting>
  <conditionalFormatting sqref="B33:B34">
    <cfRule type="duplicateValues" dxfId="0" priority="10"/>
  </conditionalFormatting>
  <conditionalFormatting sqref="B39:B41">
    <cfRule type="duplicateValues" dxfId="0" priority="6"/>
  </conditionalFormatting>
  <conditionalFormatting sqref="B2 B4">
    <cfRule type="duplicateValues" dxfId="0" priority="33"/>
  </conditionalFormatting>
  <printOptions horizontalCentered="1"/>
  <pageMargins left="0.472222222222222" right="0.472222222222222" top="0.590277777777778" bottom="0.590277777777778" header="0.393055555555556" footer="0.393055555555556"/>
  <pageSetup paperSize="9" scale="83" fitToHeight="0" orientation="landscape" blackAndWhite="1" horizontalDpi="600"/>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AD302"/>
  <sheetViews>
    <sheetView view="pageBreakPreview" zoomScaleNormal="100" workbookViewId="0">
      <pane xSplit="4" ySplit="3" topLeftCell="E4" activePane="bottomRight" state="frozen"/>
      <selection/>
      <selection pane="topRight"/>
      <selection pane="bottomLeft"/>
      <selection pane="bottomRight" activeCell="H11" sqref="H11"/>
    </sheetView>
  </sheetViews>
  <sheetFormatPr defaultColWidth="10" defaultRowHeight="12"/>
  <cols>
    <col min="1" max="1" width="6.98333333333333" style="1" customWidth="1"/>
    <col min="2" max="2" width="16.625" style="3" customWidth="1"/>
    <col min="3" max="3" width="39.75" style="1" customWidth="1"/>
    <col min="4" max="4" width="5.63333333333333" style="120" customWidth="1"/>
    <col min="5" max="5" width="12.3833333333333" style="121" customWidth="1"/>
    <col min="6" max="9" width="12.3833333333333" style="121" customWidth="1" outlineLevel="1"/>
    <col min="10" max="10" width="12.6333333333333" style="121" customWidth="1"/>
    <col min="11" max="11" width="15.1333333333333" style="122" customWidth="1"/>
    <col min="12" max="12" width="11.5" style="6" customWidth="1"/>
    <col min="13" max="13" width="5.38333333333333" style="123" customWidth="1"/>
    <col min="14" max="14" width="7.875" style="123" customWidth="1"/>
    <col min="15" max="15" width="10" style="123" customWidth="1"/>
    <col min="16" max="17" width="10" style="124" customWidth="1"/>
    <col min="18" max="18" width="10" style="125" customWidth="1"/>
    <col min="19" max="28" width="10" style="124" customWidth="1"/>
    <col min="29" max="30" width="10" style="126" customWidth="1"/>
    <col min="31" max="16384" width="10" style="1" customWidth="1"/>
  </cols>
  <sheetData>
    <row r="1" s="1" customFormat="1" ht="29" customHeight="1" spans="1:30">
      <c r="A1" s="7" t="s">
        <v>40</v>
      </c>
      <c r="M1" s="123"/>
      <c r="N1" s="123"/>
      <c r="O1" s="123"/>
      <c r="P1" s="38"/>
      <c r="Q1" s="37">
        <f>地上装修工程!$Q$1</f>
        <v>1</v>
      </c>
      <c r="R1" s="127"/>
      <c r="S1" s="37">
        <f>地上装修工程!$S$1</f>
        <v>1</v>
      </c>
      <c r="T1" s="37">
        <f>地上装修工程!$T$1</f>
        <v>1</v>
      </c>
      <c r="U1" s="38"/>
      <c r="V1" s="38"/>
      <c r="W1" s="124"/>
      <c r="X1" s="124"/>
      <c r="Y1" s="124"/>
      <c r="Z1" s="124"/>
      <c r="AA1" s="124"/>
      <c r="AB1" s="124"/>
      <c r="AC1" s="126"/>
      <c r="AD1" s="126"/>
    </row>
    <row r="2" s="2" customFormat="1" ht="24" customHeight="1" spans="1:30">
      <c r="A2" s="8" t="s">
        <v>17</v>
      </c>
      <c r="B2" s="8" t="s">
        <v>41</v>
      </c>
      <c r="C2" s="8" t="s">
        <v>42</v>
      </c>
      <c r="D2" s="8" t="s">
        <v>43</v>
      </c>
      <c r="E2" s="9" t="s">
        <v>44</v>
      </c>
      <c r="F2" s="10" t="s">
        <v>45</v>
      </c>
      <c r="G2" s="10" t="s">
        <v>46</v>
      </c>
      <c r="H2" s="10" t="s">
        <v>47</v>
      </c>
      <c r="I2" s="10" t="s">
        <v>48</v>
      </c>
      <c r="J2" s="10" t="s">
        <v>49</v>
      </c>
      <c r="K2" s="11" t="s">
        <v>50</v>
      </c>
      <c r="L2" s="8" t="s">
        <v>24</v>
      </c>
      <c r="P2" s="44" t="s">
        <v>52</v>
      </c>
      <c r="Q2" s="128"/>
      <c r="R2" s="129"/>
      <c r="S2" s="128"/>
      <c r="T2" s="128"/>
      <c r="U2" s="128"/>
      <c r="V2" s="128"/>
      <c r="W2" s="130"/>
      <c r="X2" s="130"/>
      <c r="Y2" s="130"/>
      <c r="Z2" s="130"/>
      <c r="AA2" s="130"/>
      <c r="AB2" s="130"/>
      <c r="AC2" s="130"/>
      <c r="AD2" s="130"/>
    </row>
    <row r="3" s="2" customFormat="1" ht="17" customHeight="1" spans="1:30">
      <c r="A3" s="12"/>
      <c r="B3" s="12"/>
      <c r="C3" s="12"/>
      <c r="D3" s="12"/>
      <c r="E3" s="12"/>
      <c r="F3" s="12"/>
      <c r="G3" s="12"/>
      <c r="H3" s="12"/>
      <c r="I3" s="45">
        <f>地上装修工程!$I$3</f>
        <v>0.1</v>
      </c>
      <c r="J3" s="12"/>
      <c r="K3" s="12"/>
      <c r="L3" s="12"/>
      <c r="P3" s="46" t="s">
        <v>52</v>
      </c>
      <c r="Q3" s="46" t="s">
        <v>46</v>
      </c>
      <c r="R3" s="131" t="s">
        <v>53</v>
      </c>
      <c r="S3" s="46" t="s">
        <v>45</v>
      </c>
      <c r="T3" s="46" t="s">
        <v>54</v>
      </c>
      <c r="U3" s="46" t="s">
        <v>55</v>
      </c>
      <c r="V3" s="46" t="s">
        <v>56</v>
      </c>
      <c r="W3" s="130"/>
      <c r="X3" s="130"/>
      <c r="Y3" s="130"/>
      <c r="Z3" s="130"/>
      <c r="AA3" s="130"/>
      <c r="AB3" s="130"/>
      <c r="AC3" s="130"/>
      <c r="AD3" s="130"/>
    </row>
    <row r="4" s="119" customFormat="1" ht="24" customHeight="1" spans="1:30">
      <c r="A4" s="132" t="s">
        <v>57</v>
      </c>
      <c r="B4" s="8" t="s">
        <v>517</v>
      </c>
      <c r="C4" s="8"/>
      <c r="D4" s="133"/>
      <c r="E4" s="134"/>
      <c r="F4" s="134"/>
      <c r="G4" s="134"/>
      <c r="H4" s="134"/>
      <c r="I4" s="134"/>
      <c r="J4" s="134"/>
      <c r="K4" s="11">
        <f>SUM(K5:K104)</f>
        <v>381879.25</v>
      </c>
      <c r="L4" s="135"/>
      <c r="M4" s="136"/>
      <c r="N4" s="136"/>
      <c r="O4" s="136"/>
      <c r="P4" s="137"/>
      <c r="Q4" s="137"/>
      <c r="R4" s="138"/>
      <c r="S4" s="137"/>
      <c r="T4" s="137"/>
      <c r="U4" s="137"/>
      <c r="V4" s="137"/>
      <c r="W4" s="139"/>
      <c r="X4" s="139"/>
      <c r="Y4" s="139"/>
      <c r="Z4" s="139"/>
      <c r="AA4" s="139"/>
      <c r="AB4" s="139"/>
      <c r="AC4" s="140"/>
      <c r="AD4" s="140"/>
    </row>
    <row r="5" s="119" customFormat="1" ht="24" customHeight="1" outlineLevel="1" spans="1:30">
      <c r="A5" s="132" t="s">
        <v>58</v>
      </c>
      <c r="B5" s="8" t="s">
        <v>518</v>
      </c>
      <c r="C5" s="8"/>
      <c r="D5" s="133"/>
      <c r="E5" s="134"/>
      <c r="F5" s="134"/>
      <c r="G5" s="134"/>
      <c r="H5" s="134"/>
      <c r="I5" s="134"/>
      <c r="J5" s="134"/>
      <c r="K5" s="11"/>
      <c r="L5" s="135"/>
      <c r="M5" s="136"/>
      <c r="N5" s="136"/>
      <c r="O5" s="136"/>
      <c r="P5" s="137"/>
      <c r="Q5" s="137"/>
      <c r="R5" s="138"/>
      <c r="S5" s="137"/>
      <c r="T5" s="137"/>
      <c r="U5" s="137"/>
      <c r="V5" s="137"/>
      <c r="W5" s="139"/>
      <c r="X5" s="139"/>
      <c r="Y5" s="139"/>
      <c r="Z5" s="139"/>
      <c r="AA5" s="139"/>
      <c r="AB5" s="139"/>
      <c r="AC5" s="140"/>
      <c r="AD5" s="140"/>
    </row>
    <row r="6" s="119" customFormat="1" ht="24" customHeight="1" outlineLevel="1" spans="1:30">
      <c r="A6" s="141"/>
      <c r="B6" s="14" t="s">
        <v>60</v>
      </c>
      <c r="C6" s="15"/>
      <c r="D6" s="142"/>
      <c r="E6" s="143"/>
      <c r="F6" s="143"/>
      <c r="G6" s="143"/>
      <c r="H6" s="143"/>
      <c r="I6" s="143"/>
      <c r="J6" s="143"/>
      <c r="K6" s="144"/>
      <c r="L6" s="135"/>
      <c r="M6" s="136"/>
      <c r="N6" s="136"/>
      <c r="O6" s="136"/>
      <c r="P6" s="137"/>
      <c r="Q6" s="137"/>
      <c r="R6" s="138"/>
      <c r="S6" s="137"/>
      <c r="T6" s="137"/>
      <c r="U6" s="137"/>
      <c r="V6" s="137"/>
      <c r="W6" s="139"/>
      <c r="X6" s="139"/>
      <c r="Y6" s="139"/>
      <c r="Z6" s="139"/>
      <c r="AA6" s="139"/>
      <c r="AB6" s="139"/>
      <c r="AC6" s="140"/>
      <c r="AD6" s="140"/>
    </row>
    <row r="7" s="119" customFormat="1" ht="96" customHeight="1" outlineLevel="2" spans="1:30">
      <c r="A7" s="145">
        <f>1+N(A6)</f>
        <v>1</v>
      </c>
      <c r="B7" s="146" t="s">
        <v>61</v>
      </c>
      <c r="C7" s="147" t="s">
        <v>62</v>
      </c>
      <c r="D7" s="148" t="s">
        <v>63</v>
      </c>
      <c r="E7" s="149">
        <v>10.765</v>
      </c>
      <c r="F7" s="149">
        <f>S7*$S$1</f>
        <v>130</v>
      </c>
      <c r="G7" s="149">
        <f>Q7*(1+R7)*$Q$1</f>
        <v>628.3</v>
      </c>
      <c r="H7" s="150">
        <f>(T7+U7)*$T$1</f>
        <v>47.7</v>
      </c>
      <c r="I7" s="150">
        <f>(F7+G7+H7)*$I$3</f>
        <v>80.6</v>
      </c>
      <c r="J7" s="151">
        <f>ROUND(SUM(F7:I7),2)</f>
        <v>886.6</v>
      </c>
      <c r="K7" s="152">
        <f>ROUND(J7*E7,2)</f>
        <v>9544.25</v>
      </c>
      <c r="L7" s="153"/>
      <c r="M7" s="136"/>
      <c r="N7" s="136"/>
      <c r="O7" s="136"/>
      <c r="P7" s="137">
        <f>Q7+Q7*R7+S7+T7+U7</f>
        <v>806</v>
      </c>
      <c r="Q7" s="154">
        <v>610</v>
      </c>
      <c r="R7" s="155">
        <v>0.03</v>
      </c>
      <c r="S7" s="156">
        <f>35+95</f>
        <v>130</v>
      </c>
      <c r="T7" s="156">
        <f>420*0.07+16.8</f>
        <v>46.2</v>
      </c>
      <c r="U7" s="156">
        <v>1.5</v>
      </c>
      <c r="V7" s="37">
        <f>P7*E7</f>
        <v>8676.59</v>
      </c>
      <c r="W7" s="139"/>
      <c r="X7" s="139"/>
      <c r="Y7" s="139"/>
      <c r="Z7" s="139"/>
      <c r="AA7" s="139"/>
      <c r="AB7" s="139"/>
      <c r="AC7" s="140"/>
      <c r="AD7" s="140"/>
    </row>
    <row r="8" s="119" customFormat="1" ht="108" customHeight="1" outlineLevel="2" spans="1:30">
      <c r="A8" s="145">
        <f>1+N(A7)</f>
        <v>2</v>
      </c>
      <c r="B8" s="146" t="s">
        <v>64</v>
      </c>
      <c r="C8" s="147" t="s">
        <v>65</v>
      </c>
      <c r="D8" s="148" t="s">
        <v>63</v>
      </c>
      <c r="E8" s="149">
        <v>16.519</v>
      </c>
      <c r="F8" s="149">
        <f>S8*$S$1</f>
        <v>130</v>
      </c>
      <c r="G8" s="149">
        <f>Q8*(1+R8)*$Q$1</f>
        <v>854.9</v>
      </c>
      <c r="H8" s="149">
        <f>(T8+U8)*$T$1</f>
        <v>47.7</v>
      </c>
      <c r="I8" s="150">
        <f>(F8+G8+H8)*$I$3</f>
        <v>103.26</v>
      </c>
      <c r="J8" s="151">
        <f>ROUND(SUM(F8:I8),2)</f>
        <v>1135.86</v>
      </c>
      <c r="K8" s="152">
        <f>ROUND(J8*E8,2)</f>
        <v>18763.27</v>
      </c>
      <c r="L8" s="153"/>
      <c r="M8" s="136"/>
      <c r="N8" s="136"/>
      <c r="O8" s="136"/>
      <c r="P8" s="137">
        <f>Q8+Q8*R8+S8+T8+U8</f>
        <v>1032.6</v>
      </c>
      <c r="Q8" s="154">
        <v>830</v>
      </c>
      <c r="R8" s="155">
        <v>0.03</v>
      </c>
      <c r="S8" s="156">
        <f>35+95</f>
        <v>130</v>
      </c>
      <c r="T8" s="156">
        <f>420*0.07+16.8</f>
        <v>46.2</v>
      </c>
      <c r="U8" s="156">
        <v>1.5</v>
      </c>
      <c r="V8" s="37">
        <f>P8*E8</f>
        <v>17057.5194</v>
      </c>
      <c r="W8" s="139"/>
      <c r="X8" s="139"/>
      <c r="Y8" s="139"/>
      <c r="Z8" s="139"/>
      <c r="AA8" s="139"/>
      <c r="AB8" s="139"/>
      <c r="AC8" s="140"/>
      <c r="AD8" s="140"/>
    </row>
    <row r="9" s="119" customFormat="1" ht="36" customHeight="1" outlineLevel="2" spans="1:30">
      <c r="A9" s="145">
        <f>1+N(A8)</f>
        <v>3</v>
      </c>
      <c r="B9" s="146" t="s">
        <v>68</v>
      </c>
      <c r="C9" s="147" t="s">
        <v>69</v>
      </c>
      <c r="D9" s="148" t="s">
        <v>70</v>
      </c>
      <c r="E9" s="149">
        <v>17.264</v>
      </c>
      <c r="F9" s="149">
        <f>S9*$S$1</f>
        <v>12</v>
      </c>
      <c r="G9" s="149">
        <f>Q9*(1+R9)*$Q$1</f>
        <v>19.57</v>
      </c>
      <c r="H9" s="149">
        <f>(T9+U9)*$T$1</f>
        <v>0.5</v>
      </c>
      <c r="I9" s="150">
        <f>(F9+G9+H9)*$I$3</f>
        <v>3.207</v>
      </c>
      <c r="J9" s="151">
        <f>ROUND(SUM(F9:I9),2)</f>
        <v>35.28</v>
      </c>
      <c r="K9" s="152">
        <f>ROUND(J9*E9,2)</f>
        <v>609.07</v>
      </c>
      <c r="L9" s="153"/>
      <c r="M9" s="136"/>
      <c r="N9" s="136"/>
      <c r="O9" s="136"/>
      <c r="P9" s="37">
        <f>Q9+Q9*R9+S9+T9+U9</f>
        <v>32.07</v>
      </c>
      <c r="Q9" s="71">
        <v>19</v>
      </c>
      <c r="R9" s="157">
        <v>0.03</v>
      </c>
      <c r="S9" s="71">
        <v>12</v>
      </c>
      <c r="T9" s="71">
        <v>0.3</v>
      </c>
      <c r="U9" s="71">
        <v>0.2</v>
      </c>
      <c r="V9" s="37">
        <f>P9*E9</f>
        <v>553.65648</v>
      </c>
      <c r="W9" s="139"/>
      <c r="X9" s="139"/>
      <c r="Y9" s="139"/>
      <c r="Z9" s="139"/>
      <c r="AA9" s="139"/>
      <c r="AB9" s="139"/>
      <c r="AC9" s="140"/>
      <c r="AD9" s="140"/>
    </row>
    <row r="10" s="119" customFormat="1" ht="48" customHeight="1" outlineLevel="2" spans="1:30">
      <c r="A10" s="145">
        <f>1+N(A9)</f>
        <v>4</v>
      </c>
      <c r="B10" s="146" t="s">
        <v>71</v>
      </c>
      <c r="C10" s="147" t="s">
        <v>72</v>
      </c>
      <c r="D10" s="148" t="s">
        <v>63</v>
      </c>
      <c r="E10" s="149">
        <f>+E7+E8</f>
        <v>27.284</v>
      </c>
      <c r="F10" s="149">
        <f>S10*$S$1</f>
        <v>40</v>
      </c>
      <c r="G10" s="149">
        <f>Q10*(1+R10)*$Q$1</f>
        <v>15</v>
      </c>
      <c r="H10" s="149">
        <f>(T10+U10)*$T$1</f>
        <v>0.8</v>
      </c>
      <c r="I10" s="150">
        <f>(F10+G10+H10)*$I$3</f>
        <v>5.58</v>
      </c>
      <c r="J10" s="151">
        <f>ROUND(SUM(F10:I10),2)</f>
        <v>61.38</v>
      </c>
      <c r="K10" s="152">
        <f>ROUND(J10*E10,2)</f>
        <v>1674.69</v>
      </c>
      <c r="L10" s="153"/>
      <c r="M10" s="136"/>
      <c r="N10" s="136"/>
      <c r="O10" s="136"/>
      <c r="P10" s="37">
        <f>Q10+Q10*R10+S10+T10+U10</f>
        <v>55.8</v>
      </c>
      <c r="Q10" s="71">
        <v>15</v>
      </c>
      <c r="R10" s="157">
        <v>0</v>
      </c>
      <c r="S10" s="71">
        <v>40</v>
      </c>
      <c r="T10" s="71">
        <v>0.5</v>
      </c>
      <c r="U10" s="71">
        <v>0.3</v>
      </c>
      <c r="V10" s="37">
        <f>P10*E10</f>
        <v>1522.4472</v>
      </c>
      <c r="W10" s="139"/>
      <c r="X10" s="139"/>
      <c r="Y10" s="139"/>
      <c r="Z10" s="139"/>
      <c r="AA10" s="139"/>
      <c r="AB10" s="139"/>
      <c r="AC10" s="140"/>
      <c r="AD10" s="140"/>
    </row>
    <row r="11" s="119" customFormat="1" ht="24" customHeight="1" outlineLevel="1" spans="1:30">
      <c r="A11" s="141"/>
      <c r="B11" s="14" t="s">
        <v>494</v>
      </c>
      <c r="C11" s="15"/>
      <c r="D11" s="142"/>
      <c r="E11" s="143"/>
      <c r="F11" s="143"/>
      <c r="G11" s="143"/>
      <c r="H11" s="143"/>
      <c r="I11" s="143"/>
      <c r="J11" s="143"/>
      <c r="K11" s="144"/>
      <c r="L11" s="135"/>
      <c r="M11" s="136"/>
      <c r="N11" s="136"/>
      <c r="O11" s="136"/>
      <c r="P11" s="137"/>
      <c r="Q11" s="137"/>
      <c r="R11" s="138"/>
      <c r="S11" s="137"/>
      <c r="T11" s="137"/>
      <c r="U11" s="137"/>
      <c r="V11" s="137"/>
      <c r="W11" s="139"/>
      <c r="X11" s="139"/>
      <c r="Y11" s="139"/>
      <c r="Z11" s="139"/>
      <c r="AA11" s="139"/>
      <c r="AB11" s="139"/>
      <c r="AC11" s="140"/>
      <c r="AD11" s="140"/>
    </row>
    <row r="12" s="119" customFormat="1" ht="72" customHeight="1" outlineLevel="2" spans="1:30">
      <c r="A12" s="145">
        <f t="shared" ref="A12:A23" si="0">1+N(A11)</f>
        <v>1</v>
      </c>
      <c r="B12" s="158" t="s">
        <v>74</v>
      </c>
      <c r="C12" s="147" t="s">
        <v>75</v>
      </c>
      <c r="D12" s="148" t="s">
        <v>63</v>
      </c>
      <c r="E12" s="149">
        <v>6.099</v>
      </c>
      <c r="F12" s="149">
        <f t="shared" ref="F12:F23" si="1">S12*$S$1</f>
        <v>95</v>
      </c>
      <c r="G12" s="149">
        <f t="shared" ref="G12:G23" si="2">Q12*(1+R12)*$Q$1</f>
        <v>813.75</v>
      </c>
      <c r="H12" s="149">
        <f t="shared" ref="H12:H23" si="3">(T12+U12)*$T$1</f>
        <v>18.3</v>
      </c>
      <c r="I12" s="150">
        <f t="shared" ref="I12:I23" si="4">(F12+G12+H12)*$I$3</f>
        <v>92.705</v>
      </c>
      <c r="J12" s="151">
        <f t="shared" ref="J12:J23" si="5">ROUND(SUM(F12:I12),2)</f>
        <v>1019.76</v>
      </c>
      <c r="K12" s="152">
        <f t="shared" ref="K12:K23" si="6">ROUND(J12*E12,2)</f>
        <v>6219.52</v>
      </c>
      <c r="L12" s="153"/>
      <c r="M12" s="136"/>
      <c r="N12" s="136"/>
      <c r="O12" s="136"/>
      <c r="P12" s="37">
        <f t="shared" ref="P12:P23" si="7">Q12+Q12*R12+S12+T12+U12</f>
        <v>927.05</v>
      </c>
      <c r="Q12" s="71">
        <v>775</v>
      </c>
      <c r="R12" s="157">
        <v>0.05</v>
      </c>
      <c r="S12" s="71">
        <v>95</v>
      </c>
      <c r="T12" s="71">
        <v>16.8</v>
      </c>
      <c r="U12" s="71">
        <v>1.5</v>
      </c>
      <c r="V12" s="37">
        <f t="shared" ref="V12:V23" si="8">P12*E12</f>
        <v>5654.07795</v>
      </c>
      <c r="W12" s="139"/>
      <c r="X12" s="139"/>
      <c r="Y12" s="139"/>
      <c r="Z12" s="139"/>
      <c r="AA12" s="139"/>
      <c r="AB12" s="139"/>
      <c r="AC12" s="140"/>
      <c r="AD12" s="140"/>
    </row>
    <row r="13" s="119" customFormat="1" ht="96" customHeight="1" outlineLevel="2" spans="1:30">
      <c r="A13" s="145">
        <f t="shared" si="0"/>
        <v>2</v>
      </c>
      <c r="B13" s="159" t="s">
        <v>76</v>
      </c>
      <c r="C13" s="160" t="s">
        <v>77</v>
      </c>
      <c r="D13" s="148" t="s">
        <v>63</v>
      </c>
      <c r="E13" s="149">
        <v>27.664</v>
      </c>
      <c r="F13" s="149">
        <f t="shared" si="1"/>
        <v>145</v>
      </c>
      <c r="G13" s="149">
        <f t="shared" si="2"/>
        <v>651</v>
      </c>
      <c r="H13" s="149">
        <f t="shared" si="3"/>
        <v>113.55</v>
      </c>
      <c r="I13" s="150">
        <f t="shared" si="4"/>
        <v>90.955</v>
      </c>
      <c r="J13" s="151">
        <f t="shared" si="5"/>
        <v>1000.51</v>
      </c>
      <c r="K13" s="152">
        <f t="shared" si="6"/>
        <v>27678.11</v>
      </c>
      <c r="L13" s="153"/>
      <c r="M13" s="136"/>
      <c r="N13" s="136"/>
      <c r="O13" s="136"/>
      <c r="P13" s="37">
        <f t="shared" si="7"/>
        <v>909.55</v>
      </c>
      <c r="Q13" s="71">
        <v>620</v>
      </c>
      <c r="R13" s="157">
        <v>0.05</v>
      </c>
      <c r="S13" s="71">
        <v>145</v>
      </c>
      <c r="T13" s="71">
        <v>111.75</v>
      </c>
      <c r="U13" s="71">
        <v>1.8</v>
      </c>
      <c r="V13" s="37">
        <f t="shared" si="8"/>
        <v>25161.7912</v>
      </c>
      <c r="W13" s="139"/>
      <c r="X13" s="139"/>
      <c r="Y13" s="139"/>
      <c r="Z13" s="139"/>
      <c r="AA13" s="139"/>
      <c r="AB13" s="139"/>
      <c r="AC13" s="140"/>
      <c r="AD13" s="140"/>
    </row>
    <row r="14" s="119" customFormat="1" ht="60" customHeight="1" outlineLevel="2" spans="1:30">
      <c r="A14" s="145">
        <f t="shared" si="0"/>
        <v>3</v>
      </c>
      <c r="B14" s="146" t="s">
        <v>226</v>
      </c>
      <c r="C14" s="147" t="s">
        <v>225</v>
      </c>
      <c r="D14" s="148" t="s">
        <v>63</v>
      </c>
      <c r="E14" s="149">
        <v>5.421</v>
      </c>
      <c r="F14" s="149">
        <f t="shared" si="1"/>
        <v>35</v>
      </c>
      <c r="G14" s="149">
        <f t="shared" si="2"/>
        <v>346.08</v>
      </c>
      <c r="H14" s="149">
        <f t="shared" si="3"/>
        <v>54.7</v>
      </c>
      <c r="I14" s="150">
        <f t="shared" si="4"/>
        <v>43.578</v>
      </c>
      <c r="J14" s="151">
        <f t="shared" si="5"/>
        <v>479.36</v>
      </c>
      <c r="K14" s="152">
        <f t="shared" si="6"/>
        <v>2598.61</v>
      </c>
      <c r="L14" s="153"/>
      <c r="M14" s="136"/>
      <c r="N14" s="136"/>
      <c r="O14" s="136"/>
      <c r="P14" s="37">
        <f t="shared" si="7"/>
        <v>435.78</v>
      </c>
      <c r="Q14" s="71">
        <v>336</v>
      </c>
      <c r="R14" s="157">
        <v>0.03</v>
      </c>
      <c r="S14" s="71">
        <v>35</v>
      </c>
      <c r="T14" s="71">
        <v>53.5</v>
      </c>
      <c r="U14" s="71">
        <v>1.2</v>
      </c>
      <c r="V14" s="37">
        <f t="shared" si="8"/>
        <v>2362.36338</v>
      </c>
      <c r="W14" s="139"/>
      <c r="X14" s="139"/>
      <c r="Y14" s="139"/>
      <c r="Z14" s="139"/>
      <c r="AA14" s="139"/>
      <c r="AB14" s="139"/>
      <c r="AC14" s="140"/>
      <c r="AD14" s="140"/>
    </row>
    <row r="15" s="119" customFormat="1" ht="72" customHeight="1" outlineLevel="2" spans="1:30">
      <c r="A15" s="145">
        <f t="shared" si="0"/>
        <v>4</v>
      </c>
      <c r="B15" s="159" t="s">
        <v>228</v>
      </c>
      <c r="C15" s="147" t="s">
        <v>229</v>
      </c>
      <c r="D15" s="148" t="s">
        <v>63</v>
      </c>
      <c r="E15" s="149">
        <v>29.816</v>
      </c>
      <c r="F15" s="149">
        <f t="shared" si="1"/>
        <v>110</v>
      </c>
      <c r="G15" s="149">
        <f t="shared" si="2"/>
        <v>86.355</v>
      </c>
      <c r="H15" s="149">
        <f t="shared" si="3"/>
        <v>56.797</v>
      </c>
      <c r="I15" s="150">
        <f t="shared" si="4"/>
        <v>25.3152</v>
      </c>
      <c r="J15" s="151">
        <f t="shared" si="5"/>
        <v>278.47</v>
      </c>
      <c r="K15" s="152">
        <f t="shared" si="6"/>
        <v>8302.86</v>
      </c>
      <c r="L15" s="153"/>
      <c r="M15" s="136"/>
      <c r="N15" s="136"/>
      <c r="O15" s="136"/>
      <c r="P15" s="37">
        <f t="shared" si="7"/>
        <v>253.152</v>
      </c>
      <c r="Q15" s="71">
        <v>85.5</v>
      </c>
      <c r="R15" s="157">
        <v>0.01</v>
      </c>
      <c r="S15" s="71">
        <v>110</v>
      </c>
      <c r="T15" s="71">
        <v>55.997</v>
      </c>
      <c r="U15" s="71">
        <v>0.8</v>
      </c>
      <c r="V15" s="37">
        <f t="shared" si="8"/>
        <v>7547.980032</v>
      </c>
      <c r="W15" s="139"/>
      <c r="X15" s="139"/>
      <c r="Y15" s="139"/>
      <c r="Z15" s="139"/>
      <c r="AA15" s="139"/>
      <c r="AB15" s="139"/>
      <c r="AC15" s="140"/>
      <c r="AD15" s="140"/>
    </row>
    <row r="16" s="119" customFormat="1" ht="48" customHeight="1" outlineLevel="2" spans="1:30">
      <c r="A16" s="145">
        <f t="shared" si="0"/>
        <v>5</v>
      </c>
      <c r="B16" s="159" t="s">
        <v>82</v>
      </c>
      <c r="C16" s="160" t="s">
        <v>83</v>
      </c>
      <c r="D16" s="159" t="s">
        <v>63</v>
      </c>
      <c r="E16" s="149">
        <f>0.21*2.2*2+0.15*1.11</f>
        <v>1.0905</v>
      </c>
      <c r="F16" s="149">
        <f t="shared" si="1"/>
        <v>110</v>
      </c>
      <c r="G16" s="149">
        <f t="shared" si="2"/>
        <v>454.5</v>
      </c>
      <c r="H16" s="149">
        <f t="shared" si="3"/>
        <v>55.2</v>
      </c>
      <c r="I16" s="150">
        <f t="shared" si="4"/>
        <v>61.97</v>
      </c>
      <c r="J16" s="151">
        <f t="shared" si="5"/>
        <v>681.67</v>
      </c>
      <c r="K16" s="152">
        <f t="shared" si="6"/>
        <v>743.36</v>
      </c>
      <c r="L16" s="153"/>
      <c r="M16" s="136"/>
      <c r="N16" s="136"/>
      <c r="O16" s="136"/>
      <c r="P16" s="37">
        <f t="shared" si="7"/>
        <v>619.7</v>
      </c>
      <c r="Q16" s="71">
        <v>450</v>
      </c>
      <c r="R16" s="157">
        <v>0.01</v>
      </c>
      <c r="S16" s="71">
        <v>110</v>
      </c>
      <c r="T16" s="71">
        <v>54</v>
      </c>
      <c r="U16" s="71">
        <v>1.2</v>
      </c>
      <c r="V16" s="37">
        <f t="shared" si="8"/>
        <v>675.78285</v>
      </c>
      <c r="W16" s="139"/>
      <c r="X16" s="139"/>
      <c r="Y16" s="139"/>
      <c r="Z16" s="139"/>
      <c r="AA16" s="139"/>
      <c r="AB16" s="139"/>
      <c r="AC16" s="140"/>
      <c r="AD16" s="140"/>
    </row>
    <row r="17" s="119" customFormat="1" ht="48" customHeight="1" outlineLevel="2" spans="1:30">
      <c r="A17" s="145">
        <f t="shared" si="0"/>
        <v>6</v>
      </c>
      <c r="B17" s="159" t="s">
        <v>84</v>
      </c>
      <c r="C17" s="160" t="s">
        <v>83</v>
      </c>
      <c r="D17" s="159" t="s">
        <v>63</v>
      </c>
      <c r="E17" s="149">
        <f>0.34*2.75*2*2</f>
        <v>3.74</v>
      </c>
      <c r="F17" s="149">
        <f t="shared" si="1"/>
        <v>110</v>
      </c>
      <c r="G17" s="149">
        <f t="shared" si="2"/>
        <v>454.5</v>
      </c>
      <c r="H17" s="149">
        <f t="shared" si="3"/>
        <v>55.2</v>
      </c>
      <c r="I17" s="150">
        <f t="shared" si="4"/>
        <v>61.97</v>
      </c>
      <c r="J17" s="151">
        <f t="shared" si="5"/>
        <v>681.67</v>
      </c>
      <c r="K17" s="152">
        <f t="shared" si="6"/>
        <v>2549.45</v>
      </c>
      <c r="L17" s="153"/>
      <c r="M17" s="136"/>
      <c r="N17" s="136"/>
      <c r="O17" s="136"/>
      <c r="P17" s="37">
        <f t="shared" si="7"/>
        <v>619.7</v>
      </c>
      <c r="Q17" s="71">
        <v>450</v>
      </c>
      <c r="R17" s="157">
        <v>0.01</v>
      </c>
      <c r="S17" s="71">
        <v>110</v>
      </c>
      <c r="T17" s="71">
        <v>54</v>
      </c>
      <c r="U17" s="71">
        <v>1.2</v>
      </c>
      <c r="V17" s="37">
        <f t="shared" si="8"/>
        <v>2317.678</v>
      </c>
      <c r="W17" s="139"/>
      <c r="X17" s="139"/>
      <c r="Y17" s="139"/>
      <c r="Z17" s="139"/>
      <c r="AA17" s="139"/>
      <c r="AB17" s="139"/>
      <c r="AC17" s="140"/>
      <c r="AD17" s="140"/>
    </row>
    <row r="18" s="119" customFormat="1" ht="60" customHeight="1" outlineLevel="2" spans="1:30">
      <c r="A18" s="145">
        <f t="shared" si="0"/>
        <v>7</v>
      </c>
      <c r="B18" s="159" t="s">
        <v>85</v>
      </c>
      <c r="C18" s="160" t="s">
        <v>86</v>
      </c>
      <c r="D18" s="159" t="s">
        <v>63</v>
      </c>
      <c r="E18" s="149">
        <f>+(0.061+0.475+0.114+0.074)*0.95*2</f>
        <v>1.3756</v>
      </c>
      <c r="F18" s="149">
        <f t="shared" si="1"/>
        <v>110</v>
      </c>
      <c r="G18" s="149">
        <f t="shared" si="2"/>
        <v>454.5</v>
      </c>
      <c r="H18" s="149">
        <f t="shared" si="3"/>
        <v>55.2</v>
      </c>
      <c r="I18" s="150">
        <f t="shared" si="4"/>
        <v>61.97</v>
      </c>
      <c r="J18" s="151">
        <f t="shared" si="5"/>
        <v>681.67</v>
      </c>
      <c r="K18" s="152">
        <f t="shared" si="6"/>
        <v>937.71</v>
      </c>
      <c r="L18" s="153"/>
      <c r="M18" s="136"/>
      <c r="N18" s="136"/>
      <c r="O18" s="136"/>
      <c r="P18" s="37">
        <f t="shared" si="7"/>
        <v>619.7</v>
      </c>
      <c r="Q18" s="71">
        <v>450</v>
      </c>
      <c r="R18" s="157">
        <v>0.01</v>
      </c>
      <c r="S18" s="71">
        <v>110</v>
      </c>
      <c r="T18" s="71">
        <v>54</v>
      </c>
      <c r="U18" s="71">
        <v>1.2</v>
      </c>
      <c r="V18" s="37">
        <f t="shared" si="8"/>
        <v>852.45932</v>
      </c>
      <c r="W18" s="139"/>
      <c r="X18" s="139"/>
      <c r="Y18" s="139"/>
      <c r="Z18" s="139"/>
      <c r="AA18" s="139"/>
      <c r="AB18" s="139"/>
      <c r="AC18" s="140"/>
      <c r="AD18" s="140"/>
    </row>
    <row r="19" s="119" customFormat="1" ht="48" customHeight="1" outlineLevel="2" spans="1:30">
      <c r="A19" s="145">
        <f t="shared" si="0"/>
        <v>8</v>
      </c>
      <c r="B19" s="159" t="s">
        <v>87</v>
      </c>
      <c r="C19" s="160" t="s">
        <v>88</v>
      </c>
      <c r="D19" s="159" t="s">
        <v>63</v>
      </c>
      <c r="E19" s="149">
        <v>0.253</v>
      </c>
      <c r="F19" s="149">
        <f t="shared" si="1"/>
        <v>110</v>
      </c>
      <c r="G19" s="149">
        <f t="shared" si="2"/>
        <v>454.5</v>
      </c>
      <c r="H19" s="149">
        <f t="shared" si="3"/>
        <v>55.2</v>
      </c>
      <c r="I19" s="150">
        <f t="shared" si="4"/>
        <v>61.97</v>
      </c>
      <c r="J19" s="151">
        <f t="shared" si="5"/>
        <v>681.67</v>
      </c>
      <c r="K19" s="152">
        <f t="shared" si="6"/>
        <v>172.46</v>
      </c>
      <c r="L19" s="153"/>
      <c r="M19" s="136"/>
      <c r="N19" s="136"/>
      <c r="O19" s="136"/>
      <c r="P19" s="37">
        <f t="shared" si="7"/>
        <v>619.7</v>
      </c>
      <c r="Q19" s="71">
        <v>450</v>
      </c>
      <c r="R19" s="157">
        <v>0.01</v>
      </c>
      <c r="S19" s="71">
        <v>110</v>
      </c>
      <c r="T19" s="71">
        <v>54</v>
      </c>
      <c r="U19" s="71">
        <v>1.2</v>
      </c>
      <c r="V19" s="37">
        <f t="shared" si="8"/>
        <v>156.7841</v>
      </c>
      <c r="W19" s="139"/>
      <c r="X19" s="139"/>
      <c r="Y19" s="139"/>
      <c r="Z19" s="139"/>
      <c r="AA19" s="139"/>
      <c r="AB19" s="139"/>
      <c r="AC19" s="140"/>
      <c r="AD19" s="140"/>
    </row>
    <row r="20" s="119" customFormat="1" ht="48" customHeight="1" outlineLevel="2" spans="1:30">
      <c r="A20" s="145">
        <f t="shared" si="0"/>
        <v>9</v>
      </c>
      <c r="B20" s="159" t="s">
        <v>91</v>
      </c>
      <c r="C20" s="160" t="s">
        <v>92</v>
      </c>
      <c r="D20" s="159" t="s">
        <v>70</v>
      </c>
      <c r="E20" s="149">
        <v>24.611</v>
      </c>
      <c r="F20" s="149">
        <f t="shared" si="1"/>
        <v>12</v>
      </c>
      <c r="G20" s="149">
        <f t="shared" si="2"/>
        <v>25.75</v>
      </c>
      <c r="H20" s="149">
        <f t="shared" si="3"/>
        <v>3.8</v>
      </c>
      <c r="I20" s="150">
        <f t="shared" si="4"/>
        <v>4.155</v>
      </c>
      <c r="J20" s="151">
        <f t="shared" si="5"/>
        <v>45.71</v>
      </c>
      <c r="K20" s="152">
        <f t="shared" si="6"/>
        <v>1124.97</v>
      </c>
      <c r="L20" s="153"/>
      <c r="M20" s="136"/>
      <c r="N20" s="136"/>
      <c r="O20" s="136"/>
      <c r="P20" s="37">
        <f t="shared" si="7"/>
        <v>41.55</v>
      </c>
      <c r="Q20" s="71">
        <v>25</v>
      </c>
      <c r="R20" s="157">
        <v>0.03</v>
      </c>
      <c r="S20" s="71">
        <v>12</v>
      </c>
      <c r="T20" s="71">
        <v>3.5</v>
      </c>
      <c r="U20" s="71">
        <v>0.3</v>
      </c>
      <c r="V20" s="37">
        <f t="shared" si="8"/>
        <v>1022.58705</v>
      </c>
      <c r="W20" s="139"/>
      <c r="X20" s="139"/>
      <c r="Y20" s="139"/>
      <c r="Z20" s="139"/>
      <c r="AA20" s="139"/>
      <c r="AB20" s="139"/>
      <c r="AC20" s="140"/>
      <c r="AD20" s="140"/>
    </row>
    <row r="21" s="119" customFormat="1" ht="36" customHeight="1" outlineLevel="2" spans="1:30">
      <c r="A21" s="145">
        <f t="shared" si="0"/>
        <v>10</v>
      </c>
      <c r="B21" s="159" t="s">
        <v>519</v>
      </c>
      <c r="C21" s="160" t="s">
        <v>520</v>
      </c>
      <c r="D21" s="159" t="s">
        <v>70</v>
      </c>
      <c r="E21" s="149">
        <v>10.065</v>
      </c>
      <c r="F21" s="149">
        <f t="shared" si="1"/>
        <v>12</v>
      </c>
      <c r="G21" s="149">
        <f t="shared" si="2"/>
        <v>30.385</v>
      </c>
      <c r="H21" s="149">
        <f t="shared" si="3"/>
        <v>3.8</v>
      </c>
      <c r="I21" s="150">
        <f t="shared" si="4"/>
        <v>4.6185</v>
      </c>
      <c r="J21" s="151">
        <f t="shared" si="5"/>
        <v>50.8</v>
      </c>
      <c r="K21" s="152">
        <f t="shared" si="6"/>
        <v>511.3</v>
      </c>
      <c r="L21" s="153"/>
      <c r="M21" s="136"/>
      <c r="N21" s="136"/>
      <c r="O21" s="136"/>
      <c r="P21" s="37">
        <f t="shared" si="7"/>
        <v>46.185</v>
      </c>
      <c r="Q21" s="71">
        <v>29.5</v>
      </c>
      <c r="R21" s="157">
        <v>0.03</v>
      </c>
      <c r="S21" s="71">
        <v>12</v>
      </c>
      <c r="T21" s="71">
        <v>3.5</v>
      </c>
      <c r="U21" s="71">
        <v>0.3</v>
      </c>
      <c r="V21" s="37">
        <f t="shared" si="8"/>
        <v>464.852025</v>
      </c>
      <c r="W21" s="139"/>
      <c r="X21" s="139"/>
      <c r="Y21" s="139"/>
      <c r="Z21" s="139"/>
      <c r="AA21" s="139"/>
      <c r="AB21" s="139"/>
      <c r="AC21" s="140"/>
      <c r="AD21" s="140"/>
    </row>
    <row r="22" s="119" customFormat="1" ht="48" customHeight="1" outlineLevel="2" spans="1:30">
      <c r="A22" s="145">
        <f t="shared" si="0"/>
        <v>11</v>
      </c>
      <c r="B22" s="159" t="s">
        <v>97</v>
      </c>
      <c r="C22" s="160" t="s">
        <v>98</v>
      </c>
      <c r="D22" s="159" t="s">
        <v>70</v>
      </c>
      <c r="E22" s="149">
        <v>10.795</v>
      </c>
      <c r="F22" s="149">
        <f t="shared" si="1"/>
        <v>22</v>
      </c>
      <c r="G22" s="149">
        <f t="shared" si="2"/>
        <v>58.195</v>
      </c>
      <c r="H22" s="149">
        <f t="shared" si="3"/>
        <v>6.3</v>
      </c>
      <c r="I22" s="150">
        <f t="shared" si="4"/>
        <v>8.6495</v>
      </c>
      <c r="J22" s="151">
        <f t="shared" si="5"/>
        <v>95.14</v>
      </c>
      <c r="K22" s="152">
        <f t="shared" si="6"/>
        <v>1027.04</v>
      </c>
      <c r="L22" s="153"/>
      <c r="M22" s="136"/>
      <c r="N22" s="136"/>
      <c r="O22" s="136"/>
      <c r="P22" s="37">
        <f t="shared" si="7"/>
        <v>86.495</v>
      </c>
      <c r="Q22" s="71">
        <v>56.5</v>
      </c>
      <c r="R22" s="157">
        <v>0.03</v>
      </c>
      <c r="S22" s="71">
        <v>22</v>
      </c>
      <c r="T22" s="71">
        <v>6</v>
      </c>
      <c r="U22" s="71">
        <v>0.3</v>
      </c>
      <c r="V22" s="37">
        <f t="shared" si="8"/>
        <v>933.713525</v>
      </c>
      <c r="W22" s="139"/>
      <c r="X22" s="139"/>
      <c r="Y22" s="139"/>
      <c r="Z22" s="139"/>
      <c r="AA22" s="139"/>
      <c r="AB22" s="139"/>
      <c r="AC22" s="140"/>
      <c r="AD22" s="140"/>
    </row>
    <row r="23" s="119" customFormat="1" ht="48" customHeight="1" outlineLevel="2" spans="1:30">
      <c r="A23" s="145">
        <f t="shared" si="0"/>
        <v>12</v>
      </c>
      <c r="B23" s="159" t="s">
        <v>99</v>
      </c>
      <c r="C23" s="160" t="s">
        <v>100</v>
      </c>
      <c r="D23" s="159" t="s">
        <v>70</v>
      </c>
      <c r="E23" s="149">
        <v>25.474</v>
      </c>
      <c r="F23" s="149">
        <f t="shared" si="1"/>
        <v>12</v>
      </c>
      <c r="G23" s="149">
        <f t="shared" si="2"/>
        <v>23.4325</v>
      </c>
      <c r="H23" s="149">
        <f t="shared" si="3"/>
        <v>3.8</v>
      </c>
      <c r="I23" s="150">
        <f t="shared" si="4"/>
        <v>3.92325</v>
      </c>
      <c r="J23" s="151">
        <f t="shared" si="5"/>
        <v>43.16</v>
      </c>
      <c r="K23" s="152">
        <f t="shared" si="6"/>
        <v>1099.46</v>
      </c>
      <c r="L23" s="153"/>
      <c r="M23" s="136"/>
      <c r="N23" s="136"/>
      <c r="O23" s="136"/>
      <c r="P23" s="37">
        <f t="shared" si="7"/>
        <v>39.2325</v>
      </c>
      <c r="Q23" s="71">
        <v>22.75</v>
      </c>
      <c r="R23" s="157">
        <v>0.03</v>
      </c>
      <c r="S23" s="71">
        <v>12</v>
      </c>
      <c r="T23" s="71">
        <v>3.5</v>
      </c>
      <c r="U23" s="71">
        <v>0.3</v>
      </c>
      <c r="V23" s="37">
        <f t="shared" si="8"/>
        <v>999.408705</v>
      </c>
      <c r="W23" s="139"/>
      <c r="X23" s="139"/>
      <c r="Y23" s="139"/>
      <c r="Z23" s="139"/>
      <c r="AA23" s="139"/>
      <c r="AB23" s="139"/>
      <c r="AC23" s="140"/>
      <c r="AD23" s="140"/>
    </row>
    <row r="24" s="119" customFormat="1" ht="24" customHeight="1" outlineLevel="1" spans="1:30">
      <c r="A24" s="141"/>
      <c r="B24" s="14" t="s">
        <v>101</v>
      </c>
      <c r="C24" s="15"/>
      <c r="D24" s="142"/>
      <c r="E24" s="143"/>
      <c r="F24" s="143"/>
      <c r="G24" s="143"/>
      <c r="H24" s="143"/>
      <c r="I24" s="143"/>
      <c r="J24" s="143"/>
      <c r="K24" s="144"/>
      <c r="L24" s="135"/>
      <c r="M24" s="136"/>
      <c r="N24" s="136"/>
      <c r="O24" s="136"/>
      <c r="P24" s="137"/>
      <c r="Q24" s="137"/>
      <c r="R24" s="138"/>
      <c r="S24" s="137"/>
      <c r="T24" s="137"/>
      <c r="U24" s="137"/>
      <c r="V24" s="137"/>
      <c r="W24" s="139"/>
      <c r="X24" s="139"/>
      <c r="Y24" s="139"/>
      <c r="Z24" s="139"/>
      <c r="AA24" s="139"/>
      <c r="AB24" s="139"/>
      <c r="AC24" s="140"/>
      <c r="AD24" s="140"/>
    </row>
    <row r="25" s="119" customFormat="1" ht="96" customHeight="1" outlineLevel="2" spans="1:30">
      <c r="A25" s="145">
        <f>1+N(A24)</f>
        <v>1</v>
      </c>
      <c r="B25" s="146" t="s">
        <v>460</v>
      </c>
      <c r="C25" s="161" t="s">
        <v>103</v>
      </c>
      <c r="D25" s="148" t="s">
        <v>63</v>
      </c>
      <c r="E25" s="149">
        <v>27.946</v>
      </c>
      <c r="F25" s="149">
        <f>S25*$S$1</f>
        <v>70</v>
      </c>
      <c r="G25" s="149">
        <f>Q25*(1+R25)*$Q$1</f>
        <v>0</v>
      </c>
      <c r="H25" s="149">
        <f>(T25+U25)*$T$1</f>
        <v>66.711</v>
      </c>
      <c r="I25" s="150">
        <f>(F25+G25+H25)*$I$3</f>
        <v>13.6711</v>
      </c>
      <c r="J25" s="151">
        <f>ROUND(SUM(F25:I25),2)</f>
        <v>150.38</v>
      </c>
      <c r="K25" s="152">
        <f>ROUND(J25*E25,2)</f>
        <v>4202.52</v>
      </c>
      <c r="L25" s="153"/>
      <c r="M25" s="136"/>
      <c r="N25" s="136"/>
      <c r="O25" s="136"/>
      <c r="P25" s="37">
        <f>Q25+Q25*R25+S25+T25+U25</f>
        <v>136.711</v>
      </c>
      <c r="Q25" s="71"/>
      <c r="R25" s="157">
        <v>0.01</v>
      </c>
      <c r="S25" s="71">
        <v>70</v>
      </c>
      <c r="T25" s="71">
        <v>64.711</v>
      </c>
      <c r="U25" s="71">
        <v>2</v>
      </c>
      <c r="V25" s="37">
        <f>P25*E25</f>
        <v>3820.525606</v>
      </c>
      <c r="W25" s="139"/>
      <c r="X25" s="139"/>
      <c r="Y25" s="139"/>
      <c r="Z25" s="139"/>
      <c r="AA25" s="139"/>
      <c r="AB25" s="139"/>
      <c r="AC25" s="140"/>
      <c r="AD25" s="140"/>
    </row>
    <row r="26" s="119" customFormat="1" ht="72" customHeight="1" outlineLevel="2" spans="1:30">
      <c r="A26" s="145">
        <f>1+N(A25)</f>
        <v>2</v>
      </c>
      <c r="B26" s="146" t="s">
        <v>521</v>
      </c>
      <c r="C26" s="161" t="s">
        <v>522</v>
      </c>
      <c r="D26" s="148" t="s">
        <v>70</v>
      </c>
      <c r="E26" s="149">
        <v>17.282</v>
      </c>
      <c r="F26" s="149">
        <f>S26*$S$1</f>
        <v>50</v>
      </c>
      <c r="G26" s="149">
        <f>Q26*(1+R26)*$Q$1</f>
        <v>0</v>
      </c>
      <c r="H26" s="149">
        <f>(T26+U26)*$T$1</f>
        <v>22.0941</v>
      </c>
      <c r="I26" s="150">
        <f>(F26+G26+H26)*$I$3</f>
        <v>7.20941</v>
      </c>
      <c r="J26" s="151">
        <f>ROUND(SUM(F26:I26),2)</f>
        <v>79.3</v>
      </c>
      <c r="K26" s="152">
        <f>ROUND(J26*E26,2)</f>
        <v>1370.46</v>
      </c>
      <c r="L26" s="153"/>
      <c r="M26" s="136"/>
      <c r="N26" s="136"/>
      <c r="O26" s="136"/>
      <c r="P26" s="37">
        <f>Q26+Q26*R26+S26+T26+U26</f>
        <v>72.0941</v>
      </c>
      <c r="Q26" s="71"/>
      <c r="R26" s="157">
        <v>0.01</v>
      </c>
      <c r="S26" s="71">
        <v>50</v>
      </c>
      <c r="T26" s="71">
        <v>22.0941</v>
      </c>
      <c r="U26" s="71"/>
      <c r="V26" s="37">
        <f>P26*E26</f>
        <v>1245.9302362</v>
      </c>
      <c r="W26" s="139"/>
      <c r="X26" s="139"/>
      <c r="Y26" s="139"/>
      <c r="Z26" s="139"/>
      <c r="AA26" s="139"/>
      <c r="AB26" s="139"/>
      <c r="AC26" s="140"/>
      <c r="AD26" s="140"/>
    </row>
    <row r="27" s="119" customFormat="1" ht="72" customHeight="1" outlineLevel="2" spans="1:30">
      <c r="A27" s="145">
        <f>1+N(A26)</f>
        <v>3</v>
      </c>
      <c r="B27" s="146" t="s">
        <v>106</v>
      </c>
      <c r="C27" s="147" t="s">
        <v>107</v>
      </c>
      <c r="D27" s="148" t="s">
        <v>70</v>
      </c>
      <c r="E27" s="149">
        <v>17.282</v>
      </c>
      <c r="F27" s="149">
        <f>S27*$S$1</f>
        <v>18</v>
      </c>
      <c r="G27" s="149">
        <f>Q27*(1+R27)*$Q$1</f>
        <v>163.255</v>
      </c>
      <c r="H27" s="149">
        <f>(T27+U27)*$T$1</f>
        <v>3.8</v>
      </c>
      <c r="I27" s="150">
        <f>(F27+G27+H27)*$I$3</f>
        <v>18.5055</v>
      </c>
      <c r="J27" s="151">
        <f>ROUND(SUM(F27:I27),2)</f>
        <v>203.56</v>
      </c>
      <c r="K27" s="152">
        <f>ROUND(J27*E27,2)</f>
        <v>3517.92</v>
      </c>
      <c r="L27" s="153"/>
      <c r="M27" s="136"/>
      <c r="N27" s="136"/>
      <c r="O27" s="136"/>
      <c r="P27" s="37">
        <f>Q27+Q27*R27+S27+T27+U27</f>
        <v>185.055</v>
      </c>
      <c r="Q27" s="71">
        <v>158.5</v>
      </c>
      <c r="R27" s="157">
        <v>0.03</v>
      </c>
      <c r="S27" s="71">
        <v>18</v>
      </c>
      <c r="T27" s="71">
        <v>3.5</v>
      </c>
      <c r="U27" s="71">
        <v>0.3</v>
      </c>
      <c r="V27" s="37">
        <f>P27*E27</f>
        <v>3198.12051</v>
      </c>
      <c r="W27" s="139"/>
      <c r="X27" s="139"/>
      <c r="Y27" s="139"/>
      <c r="Z27" s="139"/>
      <c r="AA27" s="139"/>
      <c r="AB27" s="139"/>
      <c r="AC27" s="140"/>
      <c r="AD27" s="140"/>
    </row>
    <row r="28" s="119" customFormat="1" ht="72" customHeight="1" outlineLevel="2" spans="1:30">
      <c r="A28" s="145">
        <f>1+N(A27)</f>
        <v>4</v>
      </c>
      <c r="B28" s="146" t="s">
        <v>108</v>
      </c>
      <c r="C28" s="147" t="s">
        <v>109</v>
      </c>
      <c r="D28" s="148" t="s">
        <v>70</v>
      </c>
      <c r="E28" s="149">
        <f>5.12*2</f>
        <v>10.24</v>
      </c>
      <c r="F28" s="149">
        <f>S28*$S$1</f>
        <v>30</v>
      </c>
      <c r="G28" s="149">
        <f>Q28*(1+R28)*$Q$1</f>
        <v>65.6625</v>
      </c>
      <c r="H28" s="149">
        <f>(T28+U28)*$T$1</f>
        <v>2.7</v>
      </c>
      <c r="I28" s="150">
        <f>(F28+G28+H28)*$I$3</f>
        <v>9.83625</v>
      </c>
      <c r="J28" s="151">
        <f>ROUND(SUM(F28:I28),2)</f>
        <v>108.2</v>
      </c>
      <c r="K28" s="152">
        <f>ROUND(J28*E28,2)</f>
        <v>1107.97</v>
      </c>
      <c r="L28" s="153"/>
      <c r="M28" s="136"/>
      <c r="N28" s="136"/>
      <c r="O28" s="136"/>
      <c r="P28" s="37">
        <f>Q28+Q28*R28+S28+T28+U28</f>
        <v>98.3625</v>
      </c>
      <c r="Q28" s="71">
        <v>63.75</v>
      </c>
      <c r="R28" s="157">
        <v>0.03</v>
      </c>
      <c r="S28" s="71">
        <v>30</v>
      </c>
      <c r="T28" s="71">
        <v>2.5</v>
      </c>
      <c r="U28" s="71">
        <v>0.2</v>
      </c>
      <c r="V28" s="37">
        <f>P28*E28</f>
        <v>1007.232</v>
      </c>
      <c r="W28" s="139"/>
      <c r="X28" s="139"/>
      <c r="Y28" s="139"/>
      <c r="Z28" s="139"/>
      <c r="AA28" s="139"/>
      <c r="AB28" s="139"/>
      <c r="AC28" s="140"/>
      <c r="AD28" s="140"/>
    </row>
    <row r="29" s="119" customFormat="1" ht="72" customHeight="1" outlineLevel="2" spans="1:30">
      <c r="A29" s="145">
        <f>1+N(A28)</f>
        <v>5</v>
      </c>
      <c r="B29" s="146" t="s">
        <v>110</v>
      </c>
      <c r="C29" s="147" t="s">
        <v>111</v>
      </c>
      <c r="D29" s="148" t="s">
        <v>63</v>
      </c>
      <c r="E29" s="149">
        <v>34.76</v>
      </c>
      <c r="F29" s="149">
        <f>S29*$S$1</f>
        <v>45</v>
      </c>
      <c r="G29" s="149">
        <f>Q29*(1+R29)*$Q$1</f>
        <v>85.5</v>
      </c>
      <c r="H29" s="149">
        <f>(T29+U29)*$T$1</f>
        <v>7.3</v>
      </c>
      <c r="I29" s="150">
        <f>(F29+G29+H29)*$I$3</f>
        <v>13.78</v>
      </c>
      <c r="J29" s="151">
        <f>ROUND(SUM(F29:I29),2)</f>
        <v>151.58</v>
      </c>
      <c r="K29" s="152">
        <f>ROUND(J29*E29,2)</f>
        <v>5268.92</v>
      </c>
      <c r="L29" s="153"/>
      <c r="M29" s="136"/>
      <c r="N29" s="136"/>
      <c r="O29" s="136"/>
      <c r="P29" s="37">
        <f>Q29+Q29*R29+S29+T29+U29</f>
        <v>137.8</v>
      </c>
      <c r="Q29" s="71">
        <v>85.5</v>
      </c>
      <c r="R29" s="157">
        <v>0</v>
      </c>
      <c r="S29" s="71">
        <v>45</v>
      </c>
      <c r="T29" s="71">
        <v>6.5</v>
      </c>
      <c r="U29" s="71">
        <v>0.8</v>
      </c>
      <c r="V29" s="37">
        <f>P29*E29</f>
        <v>4789.928</v>
      </c>
      <c r="W29" s="139"/>
      <c r="X29" s="139"/>
      <c r="Y29" s="139"/>
      <c r="Z29" s="139"/>
      <c r="AA29" s="139"/>
      <c r="AB29" s="139"/>
      <c r="AC29" s="140"/>
      <c r="AD29" s="140"/>
    </row>
    <row r="30" s="119" customFormat="1" ht="24" customHeight="1" outlineLevel="1" spans="1:30">
      <c r="A30" s="141"/>
      <c r="B30" s="14" t="s">
        <v>112</v>
      </c>
      <c r="C30" s="15"/>
      <c r="D30" s="142"/>
      <c r="E30" s="143"/>
      <c r="F30" s="143"/>
      <c r="G30" s="143"/>
      <c r="H30" s="143"/>
      <c r="I30" s="143"/>
      <c r="J30" s="143"/>
      <c r="K30" s="144"/>
      <c r="L30" s="135"/>
      <c r="M30" s="136"/>
      <c r="N30" s="136"/>
      <c r="O30" s="136"/>
      <c r="P30" s="137"/>
      <c r="Q30" s="137"/>
      <c r="R30" s="138"/>
      <c r="S30" s="137"/>
      <c r="T30" s="137"/>
      <c r="U30" s="137"/>
      <c r="V30" s="137"/>
      <c r="W30" s="139"/>
      <c r="X30" s="139"/>
      <c r="Y30" s="139"/>
      <c r="Z30" s="139"/>
      <c r="AA30" s="139"/>
      <c r="AB30" s="139"/>
      <c r="AC30" s="140"/>
      <c r="AD30" s="140"/>
    </row>
    <row r="31" s="119" customFormat="1" ht="24" customHeight="1" outlineLevel="1" spans="1:30">
      <c r="A31" s="132" t="s">
        <v>119</v>
      </c>
      <c r="B31" s="8" t="s">
        <v>523</v>
      </c>
      <c r="C31" s="8"/>
      <c r="D31" s="133"/>
      <c r="E31" s="134"/>
      <c r="F31" s="134"/>
      <c r="G31" s="134"/>
      <c r="H31" s="134"/>
      <c r="I31" s="134"/>
      <c r="J31" s="134"/>
      <c r="K31" s="11"/>
      <c r="L31" s="135"/>
      <c r="M31" s="136"/>
      <c r="N31" s="136"/>
      <c r="O31" s="136"/>
      <c r="P31" s="137"/>
      <c r="Q31" s="137"/>
      <c r="R31" s="138"/>
      <c r="S31" s="137"/>
      <c r="T31" s="137"/>
      <c r="U31" s="137"/>
      <c r="V31" s="137"/>
      <c r="W31" s="139"/>
      <c r="X31" s="139"/>
      <c r="Y31" s="139"/>
      <c r="Z31" s="139"/>
      <c r="AA31" s="139"/>
      <c r="AB31" s="139"/>
      <c r="AC31" s="140"/>
      <c r="AD31" s="140"/>
    </row>
    <row r="32" s="119" customFormat="1" ht="24" customHeight="1" outlineLevel="1" spans="1:30">
      <c r="A32" s="141"/>
      <c r="B32" s="14" t="s">
        <v>60</v>
      </c>
      <c r="C32" s="15"/>
      <c r="D32" s="142"/>
      <c r="E32" s="143"/>
      <c r="F32" s="143"/>
      <c r="G32" s="143"/>
      <c r="H32" s="143"/>
      <c r="I32" s="143"/>
      <c r="J32" s="143"/>
      <c r="K32" s="144"/>
      <c r="L32" s="135"/>
      <c r="M32" s="136"/>
      <c r="N32" s="136"/>
      <c r="O32" s="136"/>
      <c r="P32" s="137"/>
      <c r="Q32" s="137"/>
      <c r="R32" s="138"/>
      <c r="S32" s="137"/>
      <c r="T32" s="137"/>
      <c r="U32" s="137"/>
      <c r="V32" s="137"/>
      <c r="W32" s="139"/>
      <c r="X32" s="139"/>
      <c r="Y32" s="139"/>
      <c r="Z32" s="139"/>
      <c r="AA32" s="139"/>
      <c r="AB32" s="139"/>
      <c r="AC32" s="140"/>
      <c r="AD32" s="140"/>
    </row>
    <row r="33" s="119" customFormat="1" ht="96" customHeight="1" outlineLevel="2" spans="1:30">
      <c r="A33" s="162">
        <f>1+N(A32)</f>
        <v>1</v>
      </c>
      <c r="B33" s="14" t="s">
        <v>61</v>
      </c>
      <c r="C33" s="15" t="s">
        <v>62</v>
      </c>
      <c r="D33" s="142" t="s">
        <v>63</v>
      </c>
      <c r="E33" s="143">
        <v>11.09</v>
      </c>
      <c r="F33" s="143">
        <f>$F$7</f>
        <v>130</v>
      </c>
      <c r="G33" s="143">
        <f>$G$7</f>
        <v>628.3</v>
      </c>
      <c r="H33" s="17">
        <f>$H$7</f>
        <v>47.7</v>
      </c>
      <c r="I33" s="17">
        <f>(F33+G33+H33)*$I$3</f>
        <v>80.6</v>
      </c>
      <c r="J33" s="18">
        <f>ROUND(SUM(F33:I33),2)</f>
        <v>886.6</v>
      </c>
      <c r="K33" s="19">
        <f>ROUND(J33*E33,2)</f>
        <v>9832.39</v>
      </c>
      <c r="L33" s="135"/>
      <c r="M33" s="136"/>
      <c r="N33" s="136"/>
      <c r="O33" s="136"/>
      <c r="P33" s="137">
        <f>Q33+Q33*R33+S33+T33+U33</f>
        <v>806</v>
      </c>
      <c r="Q33" s="99">
        <f>$Q$7</f>
        <v>610</v>
      </c>
      <c r="R33" s="163">
        <f>$R$7</f>
        <v>0.03</v>
      </c>
      <c r="S33" s="99">
        <f>$S$7</f>
        <v>130</v>
      </c>
      <c r="T33" s="99">
        <f>$T$7</f>
        <v>46.2</v>
      </c>
      <c r="U33" s="99">
        <f>$U$7</f>
        <v>1.5</v>
      </c>
      <c r="V33" s="37">
        <f>P33*E33</f>
        <v>8938.54</v>
      </c>
      <c r="W33" s="139"/>
      <c r="X33" s="139"/>
      <c r="Y33" s="139"/>
      <c r="Z33" s="139"/>
      <c r="AA33" s="139"/>
      <c r="AB33" s="139"/>
      <c r="AC33" s="140"/>
      <c r="AD33" s="140"/>
    </row>
    <row r="34" s="119" customFormat="1" ht="108" customHeight="1" outlineLevel="2" spans="1:30">
      <c r="A34" s="162">
        <f>1+N(A33)</f>
        <v>2</v>
      </c>
      <c r="B34" s="14" t="s">
        <v>64</v>
      </c>
      <c r="C34" s="15" t="s">
        <v>65</v>
      </c>
      <c r="D34" s="142" t="s">
        <v>63</v>
      </c>
      <c r="E34" s="143">
        <v>19.448</v>
      </c>
      <c r="F34" s="143">
        <f>$F$8</f>
        <v>130</v>
      </c>
      <c r="G34" s="143">
        <f>$G$8</f>
        <v>854.9</v>
      </c>
      <c r="H34" s="143">
        <f>$H$8</f>
        <v>47.7</v>
      </c>
      <c r="I34" s="17">
        <f>(F34+G34+H34)*$I$3</f>
        <v>103.26</v>
      </c>
      <c r="J34" s="18">
        <f>ROUND(SUM(F34:I34),2)</f>
        <v>1135.86</v>
      </c>
      <c r="K34" s="19">
        <f>ROUND(J34*E34,2)</f>
        <v>22090.21</v>
      </c>
      <c r="L34" s="135"/>
      <c r="M34" s="136"/>
      <c r="N34" s="136"/>
      <c r="O34" s="136"/>
      <c r="P34" s="137">
        <f>Q34+Q34*R34+S34+T34+U34</f>
        <v>1032.6</v>
      </c>
      <c r="Q34" s="99">
        <f>$Q$8</f>
        <v>830</v>
      </c>
      <c r="R34" s="163">
        <f>$R$8</f>
        <v>0.03</v>
      </c>
      <c r="S34" s="99">
        <f>$S$8</f>
        <v>130</v>
      </c>
      <c r="T34" s="99">
        <f>$T$8</f>
        <v>46.2</v>
      </c>
      <c r="U34" s="99">
        <f>$U$8</f>
        <v>1.5</v>
      </c>
      <c r="V34" s="37">
        <f>P34*E34</f>
        <v>20082.0048</v>
      </c>
      <c r="W34" s="139"/>
      <c r="X34" s="139"/>
      <c r="Y34" s="139"/>
      <c r="Z34" s="139"/>
      <c r="AA34" s="139"/>
      <c r="AB34" s="139"/>
      <c r="AC34" s="140"/>
      <c r="AD34" s="140"/>
    </row>
    <row r="35" s="119" customFormat="1" ht="36" customHeight="1" outlineLevel="2" spans="1:30">
      <c r="A35" s="162">
        <f>1+N(A34)</f>
        <v>3</v>
      </c>
      <c r="B35" s="14" t="s">
        <v>68</v>
      </c>
      <c r="C35" s="15" t="s">
        <v>69</v>
      </c>
      <c r="D35" s="142" t="s">
        <v>70</v>
      </c>
      <c r="E35" s="143">
        <v>19.526</v>
      </c>
      <c r="F35" s="143">
        <f>$F$9</f>
        <v>12</v>
      </c>
      <c r="G35" s="143">
        <f>$G$9</f>
        <v>19.57</v>
      </c>
      <c r="H35" s="143">
        <f>$H$9</f>
        <v>0.5</v>
      </c>
      <c r="I35" s="17">
        <f>(F35+G35+H35)*$I$3</f>
        <v>3.207</v>
      </c>
      <c r="J35" s="18">
        <f>ROUND(SUM(F35:I35),2)</f>
        <v>35.28</v>
      </c>
      <c r="K35" s="19">
        <f>ROUND(J35*E35,2)</f>
        <v>688.88</v>
      </c>
      <c r="L35" s="135"/>
      <c r="M35" s="136"/>
      <c r="N35" s="136"/>
      <c r="O35" s="136"/>
      <c r="P35" s="37">
        <f>Q35+Q35*R35+S35+T35+U35</f>
        <v>32.07</v>
      </c>
      <c r="Q35" s="99">
        <f>$Q$9</f>
        <v>19</v>
      </c>
      <c r="R35" s="163">
        <f>$R$9</f>
        <v>0.03</v>
      </c>
      <c r="S35" s="99">
        <f>$S$9</f>
        <v>12</v>
      </c>
      <c r="T35" s="99">
        <f>$T$9</f>
        <v>0.3</v>
      </c>
      <c r="U35" s="99">
        <f>$U$9</f>
        <v>0.2</v>
      </c>
      <c r="V35" s="37">
        <f>P35*E35</f>
        <v>626.19882</v>
      </c>
      <c r="W35" s="139"/>
      <c r="X35" s="139"/>
      <c r="Y35" s="139"/>
      <c r="Z35" s="139"/>
      <c r="AA35" s="139"/>
      <c r="AB35" s="139"/>
      <c r="AC35" s="140"/>
      <c r="AD35" s="140"/>
    </row>
    <row r="36" s="119" customFormat="1" ht="48" customHeight="1" outlineLevel="2" spans="1:30">
      <c r="A36" s="162">
        <f>1+N(A35)</f>
        <v>4</v>
      </c>
      <c r="B36" s="14" t="s">
        <v>71</v>
      </c>
      <c r="C36" s="15" t="s">
        <v>72</v>
      </c>
      <c r="D36" s="142" t="s">
        <v>63</v>
      </c>
      <c r="E36" s="143">
        <f>+E33+E34</f>
        <v>30.538</v>
      </c>
      <c r="F36" s="143">
        <f>$F$10</f>
        <v>40</v>
      </c>
      <c r="G36" s="143">
        <f>$G$10</f>
        <v>15</v>
      </c>
      <c r="H36" s="143">
        <f>$H$10</f>
        <v>0.8</v>
      </c>
      <c r="I36" s="17">
        <f>(F36+G36+H36)*$I$3</f>
        <v>5.58</v>
      </c>
      <c r="J36" s="18">
        <f>ROUND(SUM(F36:I36),2)</f>
        <v>61.38</v>
      </c>
      <c r="K36" s="19">
        <f>ROUND(J36*E36,2)</f>
        <v>1874.42</v>
      </c>
      <c r="L36" s="135"/>
      <c r="M36" s="136"/>
      <c r="N36" s="136"/>
      <c r="O36" s="136"/>
      <c r="P36" s="37">
        <f>Q36+Q36*R36+S36+T36+U36</f>
        <v>55.8</v>
      </c>
      <c r="Q36" s="99">
        <f>$Q$10</f>
        <v>15</v>
      </c>
      <c r="R36" s="163">
        <f>$R$10</f>
        <v>0</v>
      </c>
      <c r="S36" s="99">
        <f>$S$10</f>
        <v>40</v>
      </c>
      <c r="T36" s="99">
        <f>$T$10</f>
        <v>0.5</v>
      </c>
      <c r="U36" s="99">
        <f>$U$10</f>
        <v>0.3</v>
      </c>
      <c r="V36" s="37">
        <f>P36*E36</f>
        <v>1704.0204</v>
      </c>
      <c r="W36" s="139"/>
      <c r="X36" s="139"/>
      <c r="Y36" s="139"/>
      <c r="Z36" s="139"/>
      <c r="AA36" s="139"/>
      <c r="AB36" s="139"/>
      <c r="AC36" s="140"/>
      <c r="AD36" s="140"/>
    </row>
    <row r="37" s="119" customFormat="1" ht="24" customHeight="1" outlineLevel="1" spans="1:30">
      <c r="A37" s="141"/>
      <c r="B37" s="14" t="s">
        <v>494</v>
      </c>
      <c r="C37" s="15"/>
      <c r="D37" s="142"/>
      <c r="E37" s="143"/>
      <c r="F37" s="143"/>
      <c r="G37" s="143"/>
      <c r="H37" s="143"/>
      <c r="I37" s="143"/>
      <c r="J37" s="143"/>
      <c r="K37" s="144"/>
      <c r="L37" s="135"/>
      <c r="M37" s="136"/>
      <c r="N37" s="136"/>
      <c r="O37" s="136"/>
      <c r="P37" s="137"/>
      <c r="Q37" s="137"/>
      <c r="R37" s="138"/>
      <c r="S37" s="137"/>
      <c r="T37" s="137"/>
      <c r="U37" s="137"/>
      <c r="V37" s="137"/>
      <c r="W37" s="139"/>
      <c r="X37" s="139"/>
      <c r="Y37" s="139"/>
      <c r="Z37" s="139"/>
      <c r="AA37" s="139"/>
      <c r="AB37" s="139"/>
      <c r="AC37" s="140"/>
      <c r="AD37" s="140"/>
    </row>
    <row r="38" s="119" customFormat="1" ht="72" customHeight="1" outlineLevel="2" spans="1:30">
      <c r="A38" s="162">
        <f t="shared" ref="A38:A48" si="9">1+N(A37)</f>
        <v>1</v>
      </c>
      <c r="B38" s="164" t="s">
        <v>74</v>
      </c>
      <c r="C38" s="15" t="s">
        <v>75</v>
      </c>
      <c r="D38" s="142" t="s">
        <v>63</v>
      </c>
      <c r="E38" s="143">
        <v>8.311</v>
      </c>
      <c r="F38" s="143">
        <f>$F$12</f>
        <v>95</v>
      </c>
      <c r="G38" s="143">
        <f>$G$12</f>
        <v>813.75</v>
      </c>
      <c r="H38" s="143">
        <f>$H$12</f>
        <v>18.3</v>
      </c>
      <c r="I38" s="17">
        <f t="shared" ref="I38:I48" si="10">(F38+G38+H38)*$I$3</f>
        <v>92.705</v>
      </c>
      <c r="J38" s="18">
        <f t="shared" ref="J38:J48" si="11">ROUND(SUM(F38:I38),2)</f>
        <v>1019.76</v>
      </c>
      <c r="K38" s="19">
        <f t="shared" ref="K38:K48" si="12">ROUND(J38*E38,2)</f>
        <v>8475.23</v>
      </c>
      <c r="L38" s="135"/>
      <c r="M38" s="136"/>
      <c r="N38" s="136"/>
      <c r="O38" s="136"/>
      <c r="P38" s="37">
        <f t="shared" ref="P38:P48" si="13">Q38+Q38*R38+S38+T38+U38</f>
        <v>927.05</v>
      </c>
      <c r="Q38" s="99">
        <f>$Q$12</f>
        <v>775</v>
      </c>
      <c r="R38" s="163">
        <f>$R$12</f>
        <v>0.05</v>
      </c>
      <c r="S38" s="99">
        <f>$S$12</f>
        <v>95</v>
      </c>
      <c r="T38" s="99">
        <f>$T$12</f>
        <v>16.8</v>
      </c>
      <c r="U38" s="99">
        <f>$U$12</f>
        <v>1.5</v>
      </c>
      <c r="V38" s="37">
        <f t="shared" ref="V38:V48" si="14">P38*E38</f>
        <v>7704.71255</v>
      </c>
      <c r="W38" s="139"/>
      <c r="X38" s="139"/>
      <c r="Y38" s="139"/>
      <c r="Z38" s="139"/>
      <c r="AA38" s="139"/>
      <c r="AB38" s="139"/>
      <c r="AC38" s="140"/>
      <c r="AD38" s="140"/>
    </row>
    <row r="39" s="119" customFormat="1" ht="96" customHeight="1" outlineLevel="2" spans="1:30">
      <c r="A39" s="162">
        <f t="shared" si="9"/>
        <v>2</v>
      </c>
      <c r="B39" s="165" t="s">
        <v>76</v>
      </c>
      <c r="C39" s="166" t="s">
        <v>77</v>
      </c>
      <c r="D39" s="142" t="s">
        <v>63</v>
      </c>
      <c r="E39" s="143">
        <v>37.242</v>
      </c>
      <c r="F39" s="143">
        <f>$F$13</f>
        <v>145</v>
      </c>
      <c r="G39" s="143">
        <f>$G$13</f>
        <v>651</v>
      </c>
      <c r="H39" s="143">
        <f>$H$13</f>
        <v>113.55</v>
      </c>
      <c r="I39" s="17">
        <f t="shared" si="10"/>
        <v>90.955</v>
      </c>
      <c r="J39" s="18">
        <f t="shared" si="11"/>
        <v>1000.51</v>
      </c>
      <c r="K39" s="19">
        <f t="shared" si="12"/>
        <v>37260.99</v>
      </c>
      <c r="L39" s="135"/>
      <c r="M39" s="136"/>
      <c r="N39" s="136"/>
      <c r="O39" s="136"/>
      <c r="P39" s="37">
        <f t="shared" si="13"/>
        <v>909.55</v>
      </c>
      <c r="Q39" s="99">
        <f>$Q$13</f>
        <v>620</v>
      </c>
      <c r="R39" s="163">
        <f>$R$13</f>
        <v>0.05</v>
      </c>
      <c r="S39" s="99">
        <f>$S$13</f>
        <v>145</v>
      </c>
      <c r="T39" s="99">
        <f>$T$13</f>
        <v>111.75</v>
      </c>
      <c r="U39" s="99">
        <f>$U$13</f>
        <v>1.8</v>
      </c>
      <c r="V39" s="37">
        <f t="shared" si="14"/>
        <v>33873.4611</v>
      </c>
      <c r="W39" s="139"/>
      <c r="X39" s="139"/>
      <c r="Y39" s="139"/>
      <c r="Z39" s="139"/>
      <c r="AA39" s="139"/>
      <c r="AB39" s="139"/>
      <c r="AC39" s="140"/>
      <c r="AD39" s="140"/>
    </row>
    <row r="40" s="119" customFormat="1" ht="72" customHeight="1" outlineLevel="2" spans="1:30">
      <c r="A40" s="162">
        <f t="shared" si="9"/>
        <v>3</v>
      </c>
      <c r="B40" s="165" t="s">
        <v>228</v>
      </c>
      <c r="C40" s="15" t="s">
        <v>229</v>
      </c>
      <c r="D40" s="142" t="s">
        <v>63</v>
      </c>
      <c r="E40" s="143">
        <v>24.247</v>
      </c>
      <c r="F40" s="143">
        <f>$F$15</f>
        <v>110</v>
      </c>
      <c r="G40" s="143">
        <f>$G$15</f>
        <v>86.355</v>
      </c>
      <c r="H40" s="143">
        <f>$H$15</f>
        <v>56.797</v>
      </c>
      <c r="I40" s="17">
        <f t="shared" si="10"/>
        <v>25.3152</v>
      </c>
      <c r="J40" s="18">
        <f t="shared" si="11"/>
        <v>278.47</v>
      </c>
      <c r="K40" s="19">
        <f t="shared" si="12"/>
        <v>6752.06</v>
      </c>
      <c r="L40" s="135"/>
      <c r="M40" s="136"/>
      <c r="N40" s="136"/>
      <c r="O40" s="136"/>
      <c r="P40" s="37">
        <f t="shared" si="13"/>
        <v>253.152</v>
      </c>
      <c r="Q40" s="99">
        <f>$Q$15</f>
        <v>85.5</v>
      </c>
      <c r="R40" s="163">
        <f>$R$15</f>
        <v>0.01</v>
      </c>
      <c r="S40" s="99">
        <f>$S$15</f>
        <v>110</v>
      </c>
      <c r="T40" s="99">
        <f>$T$15</f>
        <v>55.997</v>
      </c>
      <c r="U40" s="99">
        <f>$U$15</f>
        <v>0.8</v>
      </c>
      <c r="V40" s="37">
        <f t="shared" si="14"/>
        <v>6138.176544</v>
      </c>
      <c r="W40" s="139"/>
      <c r="X40" s="139"/>
      <c r="Y40" s="139"/>
      <c r="Z40" s="139"/>
      <c r="AA40" s="139"/>
      <c r="AB40" s="139"/>
      <c r="AC40" s="140"/>
      <c r="AD40" s="140"/>
    </row>
    <row r="41" s="119" customFormat="1" ht="48" customHeight="1" outlineLevel="2" spans="1:30">
      <c r="A41" s="162">
        <f t="shared" si="9"/>
        <v>4</v>
      </c>
      <c r="B41" s="165" t="s">
        <v>82</v>
      </c>
      <c r="C41" s="166" t="s">
        <v>83</v>
      </c>
      <c r="D41" s="165" t="s">
        <v>63</v>
      </c>
      <c r="E41" s="143">
        <f>0.38*2.2*2+0.29*1.2</f>
        <v>2.02</v>
      </c>
      <c r="F41" s="143">
        <f>$F$16</f>
        <v>110</v>
      </c>
      <c r="G41" s="143">
        <f>$G$16</f>
        <v>454.5</v>
      </c>
      <c r="H41" s="143">
        <f>$H$16</f>
        <v>55.2</v>
      </c>
      <c r="I41" s="17">
        <f t="shared" si="10"/>
        <v>61.97</v>
      </c>
      <c r="J41" s="18">
        <f t="shared" si="11"/>
        <v>681.67</v>
      </c>
      <c r="K41" s="19">
        <f t="shared" si="12"/>
        <v>1376.97</v>
      </c>
      <c r="L41" s="135"/>
      <c r="M41" s="136"/>
      <c r="N41" s="136"/>
      <c r="O41" s="136"/>
      <c r="P41" s="37">
        <f t="shared" si="13"/>
        <v>619.7</v>
      </c>
      <c r="Q41" s="99">
        <f>$Q$16</f>
        <v>450</v>
      </c>
      <c r="R41" s="163">
        <f>$R$16</f>
        <v>0.01</v>
      </c>
      <c r="S41" s="99">
        <f>$S$16</f>
        <v>110</v>
      </c>
      <c r="T41" s="99">
        <f>$T$16</f>
        <v>54</v>
      </c>
      <c r="U41" s="99">
        <f>$U$16</f>
        <v>1.2</v>
      </c>
      <c r="V41" s="37">
        <f t="shared" si="14"/>
        <v>1251.794</v>
      </c>
      <c r="W41" s="139"/>
      <c r="X41" s="139"/>
      <c r="Y41" s="139"/>
      <c r="Z41" s="139"/>
      <c r="AA41" s="139"/>
      <c r="AB41" s="139"/>
      <c r="AC41" s="140"/>
      <c r="AD41" s="140"/>
    </row>
    <row r="42" s="119" customFormat="1" ht="48" customHeight="1" outlineLevel="2" spans="1:30">
      <c r="A42" s="162">
        <f t="shared" si="9"/>
        <v>5</v>
      </c>
      <c r="B42" s="165" t="s">
        <v>84</v>
      </c>
      <c r="C42" s="166" t="s">
        <v>83</v>
      </c>
      <c r="D42" s="165" t="s">
        <v>63</v>
      </c>
      <c r="E42" s="143">
        <f>0.34*2.75*2*2</f>
        <v>3.74</v>
      </c>
      <c r="F42" s="143">
        <f>$F$17</f>
        <v>110</v>
      </c>
      <c r="G42" s="143">
        <f>$G$17</f>
        <v>454.5</v>
      </c>
      <c r="H42" s="143">
        <f>$H$17</f>
        <v>55.2</v>
      </c>
      <c r="I42" s="17">
        <f t="shared" si="10"/>
        <v>61.97</v>
      </c>
      <c r="J42" s="18">
        <f t="shared" si="11"/>
        <v>681.67</v>
      </c>
      <c r="K42" s="19">
        <f t="shared" si="12"/>
        <v>2549.45</v>
      </c>
      <c r="L42" s="135"/>
      <c r="M42" s="136"/>
      <c r="N42" s="136"/>
      <c r="O42" s="136"/>
      <c r="P42" s="37">
        <f t="shared" si="13"/>
        <v>619.7</v>
      </c>
      <c r="Q42" s="99">
        <f>$Q$17</f>
        <v>450</v>
      </c>
      <c r="R42" s="163">
        <f>$R$17</f>
        <v>0.01</v>
      </c>
      <c r="S42" s="99">
        <f>$S$17</f>
        <v>110</v>
      </c>
      <c r="T42" s="99">
        <f>$T$17</f>
        <v>54</v>
      </c>
      <c r="U42" s="99">
        <f>$U$17</f>
        <v>1.2</v>
      </c>
      <c r="V42" s="37">
        <f t="shared" si="14"/>
        <v>2317.678</v>
      </c>
      <c r="W42" s="139"/>
      <c r="X42" s="139"/>
      <c r="Y42" s="139"/>
      <c r="Z42" s="139"/>
      <c r="AA42" s="139"/>
      <c r="AB42" s="139"/>
      <c r="AC42" s="140"/>
      <c r="AD42" s="140"/>
    </row>
    <row r="43" s="119" customFormat="1" ht="60" customHeight="1" outlineLevel="2" spans="1:30">
      <c r="A43" s="162">
        <f t="shared" si="9"/>
        <v>6</v>
      </c>
      <c r="B43" s="165" t="s">
        <v>85</v>
      </c>
      <c r="C43" s="166" t="s">
        <v>86</v>
      </c>
      <c r="D43" s="165" t="s">
        <v>63</v>
      </c>
      <c r="E43" s="143">
        <f>+(0.061+0.475+0.114+0.074)*0.95*2</f>
        <v>1.3756</v>
      </c>
      <c r="F43" s="143">
        <f>$F$18</f>
        <v>110</v>
      </c>
      <c r="G43" s="143">
        <f>$G$18</f>
        <v>454.5</v>
      </c>
      <c r="H43" s="143">
        <f>$H$18</f>
        <v>55.2</v>
      </c>
      <c r="I43" s="17">
        <f t="shared" si="10"/>
        <v>61.97</v>
      </c>
      <c r="J43" s="18">
        <f t="shared" si="11"/>
        <v>681.67</v>
      </c>
      <c r="K43" s="19">
        <f t="shared" si="12"/>
        <v>937.71</v>
      </c>
      <c r="L43" s="135"/>
      <c r="M43" s="136"/>
      <c r="N43" s="136"/>
      <c r="O43" s="136"/>
      <c r="P43" s="37">
        <f t="shared" si="13"/>
        <v>619.7</v>
      </c>
      <c r="Q43" s="99">
        <f>$Q$18</f>
        <v>450</v>
      </c>
      <c r="R43" s="163">
        <f>$R$18</f>
        <v>0.01</v>
      </c>
      <c r="S43" s="99">
        <f>$S$18</f>
        <v>110</v>
      </c>
      <c r="T43" s="99">
        <f>$T$18</f>
        <v>54</v>
      </c>
      <c r="U43" s="99">
        <f>$U$18</f>
        <v>1.2</v>
      </c>
      <c r="V43" s="37">
        <f t="shared" si="14"/>
        <v>852.45932</v>
      </c>
      <c r="W43" s="139"/>
      <c r="X43" s="139"/>
      <c r="Y43" s="139"/>
      <c r="Z43" s="139"/>
      <c r="AA43" s="139"/>
      <c r="AB43" s="139"/>
      <c r="AC43" s="140"/>
      <c r="AD43" s="140"/>
    </row>
    <row r="44" s="119" customFormat="1" ht="48" customHeight="1" outlineLevel="2" spans="1:30">
      <c r="A44" s="162">
        <f t="shared" si="9"/>
        <v>7</v>
      </c>
      <c r="B44" s="165" t="s">
        <v>87</v>
      </c>
      <c r="C44" s="166" t="s">
        <v>88</v>
      </c>
      <c r="D44" s="165" t="s">
        <v>63</v>
      </c>
      <c r="E44" s="143">
        <v>0.253</v>
      </c>
      <c r="F44" s="143">
        <f>$F$19</f>
        <v>110</v>
      </c>
      <c r="G44" s="143">
        <f>$G$19</f>
        <v>454.5</v>
      </c>
      <c r="H44" s="143">
        <f>$H$19</f>
        <v>55.2</v>
      </c>
      <c r="I44" s="17">
        <f t="shared" si="10"/>
        <v>61.97</v>
      </c>
      <c r="J44" s="18">
        <f t="shared" si="11"/>
        <v>681.67</v>
      </c>
      <c r="K44" s="19">
        <f t="shared" si="12"/>
        <v>172.46</v>
      </c>
      <c r="L44" s="135"/>
      <c r="M44" s="136"/>
      <c r="N44" s="136"/>
      <c r="O44" s="136"/>
      <c r="P44" s="37">
        <f t="shared" si="13"/>
        <v>619.7</v>
      </c>
      <c r="Q44" s="99">
        <f>$Q$19</f>
        <v>450</v>
      </c>
      <c r="R44" s="163">
        <f>$R$19</f>
        <v>0.01</v>
      </c>
      <c r="S44" s="99">
        <f>$S$19</f>
        <v>110</v>
      </c>
      <c r="T44" s="99">
        <f>$T$19</f>
        <v>54</v>
      </c>
      <c r="U44" s="99">
        <f>$U$19</f>
        <v>1.2</v>
      </c>
      <c r="V44" s="37">
        <f t="shared" si="14"/>
        <v>156.7841</v>
      </c>
      <c r="W44" s="139"/>
      <c r="X44" s="139"/>
      <c r="Y44" s="139"/>
      <c r="Z44" s="139"/>
      <c r="AA44" s="139"/>
      <c r="AB44" s="139"/>
      <c r="AC44" s="140"/>
      <c r="AD44" s="140"/>
    </row>
    <row r="45" s="119" customFormat="1" ht="48" customHeight="1" outlineLevel="2" spans="1:30">
      <c r="A45" s="162">
        <f t="shared" si="9"/>
        <v>8</v>
      </c>
      <c r="B45" s="165" t="s">
        <v>91</v>
      </c>
      <c r="C45" s="166" t="s">
        <v>92</v>
      </c>
      <c r="D45" s="165" t="s">
        <v>70</v>
      </c>
      <c r="E45" s="143">
        <v>24.411</v>
      </c>
      <c r="F45" s="143">
        <f>$F$20</f>
        <v>12</v>
      </c>
      <c r="G45" s="143">
        <f>$G$20</f>
        <v>25.75</v>
      </c>
      <c r="H45" s="143">
        <f>$H$20</f>
        <v>3.8</v>
      </c>
      <c r="I45" s="17">
        <f t="shared" si="10"/>
        <v>4.155</v>
      </c>
      <c r="J45" s="18">
        <f t="shared" si="11"/>
        <v>45.71</v>
      </c>
      <c r="K45" s="19">
        <f t="shared" si="12"/>
        <v>1115.83</v>
      </c>
      <c r="L45" s="135"/>
      <c r="M45" s="136"/>
      <c r="N45" s="136"/>
      <c r="O45" s="136"/>
      <c r="P45" s="37">
        <f t="shared" si="13"/>
        <v>41.55</v>
      </c>
      <c r="Q45" s="99">
        <f>$Q$20</f>
        <v>25</v>
      </c>
      <c r="R45" s="163">
        <f>$R$20</f>
        <v>0.03</v>
      </c>
      <c r="S45" s="99">
        <f>$S$20</f>
        <v>12</v>
      </c>
      <c r="T45" s="99">
        <f>$T$20</f>
        <v>3.5</v>
      </c>
      <c r="U45" s="99">
        <f>$U$20</f>
        <v>0.3</v>
      </c>
      <c r="V45" s="37">
        <f t="shared" si="14"/>
        <v>1014.27705</v>
      </c>
      <c r="W45" s="139"/>
      <c r="X45" s="139"/>
      <c r="Y45" s="139"/>
      <c r="Z45" s="139"/>
      <c r="AA45" s="139"/>
      <c r="AB45" s="139"/>
      <c r="AC45" s="140"/>
      <c r="AD45" s="140"/>
    </row>
    <row r="46" s="119" customFormat="1" ht="36" customHeight="1" outlineLevel="2" spans="1:30">
      <c r="A46" s="162">
        <f t="shared" si="9"/>
        <v>9</v>
      </c>
      <c r="B46" s="165" t="s">
        <v>519</v>
      </c>
      <c r="C46" s="166" t="s">
        <v>520</v>
      </c>
      <c r="D46" s="165" t="s">
        <v>70</v>
      </c>
      <c r="E46" s="143">
        <v>7.858</v>
      </c>
      <c r="F46" s="143">
        <f>$F$21</f>
        <v>12</v>
      </c>
      <c r="G46" s="143">
        <f>$G$21</f>
        <v>30.385</v>
      </c>
      <c r="H46" s="143">
        <f>$H$21</f>
        <v>3.8</v>
      </c>
      <c r="I46" s="17">
        <f t="shared" si="10"/>
        <v>4.6185</v>
      </c>
      <c r="J46" s="18">
        <f t="shared" si="11"/>
        <v>50.8</v>
      </c>
      <c r="K46" s="19">
        <f t="shared" si="12"/>
        <v>399.19</v>
      </c>
      <c r="L46" s="135"/>
      <c r="M46" s="136"/>
      <c r="N46" s="136"/>
      <c r="O46" s="136"/>
      <c r="P46" s="37">
        <f t="shared" si="13"/>
        <v>46.185</v>
      </c>
      <c r="Q46" s="99">
        <f>$Q$21</f>
        <v>29.5</v>
      </c>
      <c r="R46" s="163">
        <f>$R$21</f>
        <v>0.03</v>
      </c>
      <c r="S46" s="99">
        <f>$S$21</f>
        <v>12</v>
      </c>
      <c r="T46" s="99">
        <f>$T$21</f>
        <v>3.5</v>
      </c>
      <c r="U46" s="99">
        <f>$U$21</f>
        <v>0.3</v>
      </c>
      <c r="V46" s="37">
        <f t="shared" si="14"/>
        <v>362.92173</v>
      </c>
      <c r="W46" s="139"/>
      <c r="X46" s="139"/>
      <c r="Y46" s="139"/>
      <c r="Z46" s="139"/>
      <c r="AA46" s="139"/>
      <c r="AB46" s="139"/>
      <c r="AC46" s="140"/>
      <c r="AD46" s="140"/>
    </row>
    <row r="47" s="119" customFormat="1" ht="48" customHeight="1" outlineLevel="2" spans="1:30">
      <c r="A47" s="162">
        <f t="shared" si="9"/>
        <v>10</v>
      </c>
      <c r="B47" s="165" t="s">
        <v>97</v>
      </c>
      <c r="C47" s="166" t="s">
        <v>98</v>
      </c>
      <c r="D47" s="165" t="s">
        <v>70</v>
      </c>
      <c r="E47" s="143">
        <v>14.71</v>
      </c>
      <c r="F47" s="143">
        <f>$F$22</f>
        <v>22</v>
      </c>
      <c r="G47" s="143">
        <f>$G$22</f>
        <v>58.195</v>
      </c>
      <c r="H47" s="143">
        <f>$H$22</f>
        <v>6.3</v>
      </c>
      <c r="I47" s="17">
        <f t="shared" si="10"/>
        <v>8.6495</v>
      </c>
      <c r="J47" s="18">
        <f t="shared" si="11"/>
        <v>95.14</v>
      </c>
      <c r="K47" s="19">
        <f t="shared" si="12"/>
        <v>1399.51</v>
      </c>
      <c r="L47" s="135"/>
      <c r="M47" s="136"/>
      <c r="N47" s="136"/>
      <c r="O47" s="136"/>
      <c r="P47" s="37">
        <f t="shared" si="13"/>
        <v>86.495</v>
      </c>
      <c r="Q47" s="99">
        <f>$Q$22</f>
        <v>56.5</v>
      </c>
      <c r="R47" s="163">
        <f>$R$22</f>
        <v>0.03</v>
      </c>
      <c r="S47" s="99">
        <f>$S$22</f>
        <v>22</v>
      </c>
      <c r="T47" s="99">
        <f>$T$22</f>
        <v>6</v>
      </c>
      <c r="U47" s="99">
        <f>$U$22</f>
        <v>0.3</v>
      </c>
      <c r="V47" s="37">
        <f t="shared" si="14"/>
        <v>1272.34145</v>
      </c>
      <c r="W47" s="139"/>
      <c r="X47" s="139"/>
      <c r="Y47" s="139"/>
      <c r="Z47" s="139"/>
      <c r="AA47" s="139"/>
      <c r="AB47" s="139"/>
      <c r="AC47" s="140"/>
      <c r="AD47" s="140"/>
    </row>
    <row r="48" s="119" customFormat="1" ht="48" customHeight="1" outlineLevel="2" spans="1:30">
      <c r="A48" s="162">
        <f t="shared" si="9"/>
        <v>11</v>
      </c>
      <c r="B48" s="165" t="s">
        <v>99</v>
      </c>
      <c r="C48" s="166" t="s">
        <v>100</v>
      </c>
      <c r="D48" s="165" t="s">
        <v>70</v>
      </c>
      <c r="E48" s="143">
        <v>28.792</v>
      </c>
      <c r="F48" s="143">
        <f>$F$23</f>
        <v>12</v>
      </c>
      <c r="G48" s="143">
        <f>$G$23</f>
        <v>23.4325</v>
      </c>
      <c r="H48" s="143">
        <f>$H$23</f>
        <v>3.8</v>
      </c>
      <c r="I48" s="17">
        <f t="shared" si="10"/>
        <v>3.92325</v>
      </c>
      <c r="J48" s="18">
        <f t="shared" si="11"/>
        <v>43.16</v>
      </c>
      <c r="K48" s="19">
        <f t="shared" si="12"/>
        <v>1242.66</v>
      </c>
      <c r="L48" s="135"/>
      <c r="M48" s="136"/>
      <c r="N48" s="136"/>
      <c r="O48" s="136"/>
      <c r="P48" s="37">
        <f t="shared" si="13"/>
        <v>39.2325</v>
      </c>
      <c r="Q48" s="99">
        <f>$Q$23</f>
        <v>22.75</v>
      </c>
      <c r="R48" s="163">
        <f>$R$23</f>
        <v>0.03</v>
      </c>
      <c r="S48" s="99">
        <f>$S$23</f>
        <v>12</v>
      </c>
      <c r="T48" s="99">
        <f>$T$23</f>
        <v>3.5</v>
      </c>
      <c r="U48" s="99">
        <f>$U$23</f>
        <v>0.3</v>
      </c>
      <c r="V48" s="37">
        <f t="shared" si="14"/>
        <v>1129.58214</v>
      </c>
      <c r="W48" s="139"/>
      <c r="X48" s="139"/>
      <c r="Y48" s="139"/>
      <c r="Z48" s="139"/>
      <c r="AA48" s="139"/>
      <c r="AB48" s="139"/>
      <c r="AC48" s="140"/>
      <c r="AD48" s="140"/>
    </row>
    <row r="49" s="119" customFormat="1" ht="24" customHeight="1" outlineLevel="1" spans="1:30">
      <c r="A49" s="141"/>
      <c r="B49" s="14" t="s">
        <v>101</v>
      </c>
      <c r="C49" s="15"/>
      <c r="D49" s="142"/>
      <c r="E49" s="143"/>
      <c r="F49" s="143"/>
      <c r="G49" s="143"/>
      <c r="H49" s="143"/>
      <c r="I49" s="143"/>
      <c r="J49" s="143"/>
      <c r="K49" s="144"/>
      <c r="L49" s="135"/>
      <c r="M49" s="136"/>
      <c r="N49" s="136"/>
      <c r="O49" s="136"/>
      <c r="P49" s="137"/>
      <c r="Q49" s="137"/>
      <c r="R49" s="138"/>
      <c r="S49" s="137"/>
      <c r="T49" s="137"/>
      <c r="U49" s="137"/>
      <c r="V49" s="137"/>
      <c r="W49" s="139"/>
      <c r="X49" s="139"/>
      <c r="Y49" s="139"/>
      <c r="Z49" s="139"/>
      <c r="AA49" s="139"/>
      <c r="AB49" s="139"/>
      <c r="AC49" s="140"/>
      <c r="AD49" s="140"/>
    </row>
    <row r="50" s="119" customFormat="1" ht="96" customHeight="1" outlineLevel="2" spans="1:30">
      <c r="A50" s="162">
        <f>1+N(A49)</f>
        <v>1</v>
      </c>
      <c r="B50" s="14" t="s">
        <v>460</v>
      </c>
      <c r="C50" s="167" t="s">
        <v>103</v>
      </c>
      <c r="D50" s="142" t="s">
        <v>63</v>
      </c>
      <c r="E50" s="143">
        <v>31.408</v>
      </c>
      <c r="F50" s="143">
        <f>$F$25</f>
        <v>70</v>
      </c>
      <c r="G50" s="143">
        <f>$G$25</f>
        <v>0</v>
      </c>
      <c r="H50" s="143">
        <f>$H$25</f>
        <v>66.711</v>
      </c>
      <c r="I50" s="17">
        <f>(F50+G50+H50)*$I$3</f>
        <v>13.6711</v>
      </c>
      <c r="J50" s="18">
        <f>ROUND(SUM(F50:I50),2)</f>
        <v>150.38</v>
      </c>
      <c r="K50" s="19">
        <f>ROUND(J50*E50,2)</f>
        <v>4723.14</v>
      </c>
      <c r="L50" s="135"/>
      <c r="M50" s="136"/>
      <c r="N50" s="136"/>
      <c r="O50" s="136"/>
      <c r="P50" s="37">
        <f>Q50+Q50*R50+S50+T50+U50</f>
        <v>136.711</v>
      </c>
      <c r="Q50" s="99">
        <f>$Q$25</f>
        <v>0</v>
      </c>
      <c r="R50" s="163">
        <f>$R$25</f>
        <v>0.01</v>
      </c>
      <c r="S50" s="99">
        <f>$S$25</f>
        <v>70</v>
      </c>
      <c r="T50" s="99">
        <f>$T$25</f>
        <v>64.711</v>
      </c>
      <c r="U50" s="99">
        <f>$U$25</f>
        <v>2</v>
      </c>
      <c r="V50" s="37">
        <f>P50*E50</f>
        <v>4293.819088</v>
      </c>
      <c r="W50" s="139"/>
      <c r="X50" s="139"/>
      <c r="Y50" s="139"/>
      <c r="Z50" s="139"/>
      <c r="AA50" s="139"/>
      <c r="AB50" s="139"/>
      <c r="AC50" s="140"/>
      <c r="AD50" s="140"/>
    </row>
    <row r="51" s="119" customFormat="1" ht="72" customHeight="1" outlineLevel="2" spans="1:30">
      <c r="A51" s="162">
        <f>1+N(A50)</f>
        <v>2</v>
      </c>
      <c r="B51" s="14" t="s">
        <v>521</v>
      </c>
      <c r="C51" s="167" t="s">
        <v>522</v>
      </c>
      <c r="D51" s="142" t="s">
        <v>70</v>
      </c>
      <c r="E51" s="143">
        <v>19.532</v>
      </c>
      <c r="F51" s="143">
        <f>$F$26</f>
        <v>50</v>
      </c>
      <c r="G51" s="143">
        <f>$G$26</f>
        <v>0</v>
      </c>
      <c r="H51" s="143">
        <f>$H$26</f>
        <v>22.0941</v>
      </c>
      <c r="I51" s="17">
        <f>(F51+G51+H51)*$I$3</f>
        <v>7.20941</v>
      </c>
      <c r="J51" s="18">
        <f>ROUND(SUM(F51:I51),2)</f>
        <v>79.3</v>
      </c>
      <c r="K51" s="19">
        <f>ROUND(J51*E51,2)</f>
        <v>1548.89</v>
      </c>
      <c r="L51" s="135"/>
      <c r="M51" s="136"/>
      <c r="N51" s="136"/>
      <c r="O51" s="136"/>
      <c r="P51" s="37">
        <f>Q51+Q51*R51+S51+T51+U51</f>
        <v>72.0941</v>
      </c>
      <c r="Q51" s="99">
        <f>$Q$26</f>
        <v>0</v>
      </c>
      <c r="R51" s="163">
        <f>$R$26</f>
        <v>0.01</v>
      </c>
      <c r="S51" s="99">
        <f>$S$26</f>
        <v>50</v>
      </c>
      <c r="T51" s="99">
        <f>$T$26</f>
        <v>22.0941</v>
      </c>
      <c r="U51" s="99">
        <f>$U$26</f>
        <v>0</v>
      </c>
      <c r="V51" s="37">
        <f>P51*E51</f>
        <v>1408.1419612</v>
      </c>
      <c r="W51" s="139"/>
      <c r="X51" s="139"/>
      <c r="Y51" s="139"/>
      <c r="Z51" s="139"/>
      <c r="AA51" s="139"/>
      <c r="AB51" s="139"/>
      <c r="AC51" s="140"/>
      <c r="AD51" s="140"/>
    </row>
    <row r="52" s="119" customFormat="1" ht="72" customHeight="1" outlineLevel="2" spans="1:30">
      <c r="A52" s="162">
        <f>1+N(A51)</f>
        <v>3</v>
      </c>
      <c r="B52" s="14" t="s">
        <v>106</v>
      </c>
      <c r="C52" s="15" t="s">
        <v>107</v>
      </c>
      <c r="D52" s="142" t="s">
        <v>70</v>
      </c>
      <c r="E52" s="143">
        <v>19.532</v>
      </c>
      <c r="F52" s="143">
        <f>$F$27</f>
        <v>18</v>
      </c>
      <c r="G52" s="143">
        <f>$G$27</f>
        <v>163.255</v>
      </c>
      <c r="H52" s="143">
        <f>$H$27</f>
        <v>3.8</v>
      </c>
      <c r="I52" s="17">
        <f>(F52+G52+H52)*$I$3</f>
        <v>18.5055</v>
      </c>
      <c r="J52" s="18">
        <f>ROUND(SUM(F52:I52),2)</f>
        <v>203.56</v>
      </c>
      <c r="K52" s="19">
        <f>ROUND(J52*E52,2)</f>
        <v>3975.93</v>
      </c>
      <c r="L52" s="135"/>
      <c r="M52" s="136"/>
      <c r="N52" s="136"/>
      <c r="O52" s="136"/>
      <c r="P52" s="37">
        <f>Q52+Q52*R52+S52+T52+U52</f>
        <v>185.055</v>
      </c>
      <c r="Q52" s="99">
        <f>$Q$27</f>
        <v>158.5</v>
      </c>
      <c r="R52" s="163">
        <f>$R$27</f>
        <v>0.03</v>
      </c>
      <c r="S52" s="99">
        <f>$S$27</f>
        <v>18</v>
      </c>
      <c r="T52" s="99">
        <f>$T$27</f>
        <v>3.5</v>
      </c>
      <c r="U52" s="99">
        <f>$U$27</f>
        <v>0.3</v>
      </c>
      <c r="V52" s="37">
        <f>P52*E52</f>
        <v>3614.49426</v>
      </c>
      <c r="W52" s="139"/>
      <c r="X52" s="139"/>
      <c r="Y52" s="139"/>
      <c r="Z52" s="139"/>
      <c r="AA52" s="139"/>
      <c r="AB52" s="139"/>
      <c r="AC52" s="140"/>
      <c r="AD52" s="140"/>
    </row>
    <row r="53" s="119" customFormat="1" ht="72" customHeight="1" outlineLevel="2" spans="1:30">
      <c r="A53" s="162">
        <f>1+N(A52)</f>
        <v>4</v>
      </c>
      <c r="B53" s="14" t="s">
        <v>108</v>
      </c>
      <c r="C53" s="15" t="s">
        <v>109</v>
      </c>
      <c r="D53" s="142" t="s">
        <v>70</v>
      </c>
      <c r="E53" s="143">
        <f>6.9*2</f>
        <v>13.8</v>
      </c>
      <c r="F53" s="143">
        <f>$F$28</f>
        <v>30</v>
      </c>
      <c r="G53" s="143">
        <f>$G$28</f>
        <v>65.6625</v>
      </c>
      <c r="H53" s="143">
        <f>$H$28</f>
        <v>2.7</v>
      </c>
      <c r="I53" s="17">
        <f>(F53+G53+H53)*$I$3</f>
        <v>9.83625</v>
      </c>
      <c r="J53" s="18">
        <f>ROUND(SUM(F53:I53),2)</f>
        <v>108.2</v>
      </c>
      <c r="K53" s="19">
        <f>ROUND(J53*E53,2)</f>
        <v>1493.16</v>
      </c>
      <c r="L53" s="135"/>
      <c r="M53" s="136"/>
      <c r="N53" s="136"/>
      <c r="O53" s="136"/>
      <c r="P53" s="37">
        <f>Q53+Q53*R53+S53+T53+U53</f>
        <v>98.3625</v>
      </c>
      <c r="Q53" s="99">
        <f>$Q$28</f>
        <v>63.75</v>
      </c>
      <c r="R53" s="163">
        <f>$R$28</f>
        <v>0.03</v>
      </c>
      <c r="S53" s="99">
        <f>$S$28</f>
        <v>30</v>
      </c>
      <c r="T53" s="99">
        <f>$T$28</f>
        <v>2.5</v>
      </c>
      <c r="U53" s="99">
        <f>$U$28</f>
        <v>0.2</v>
      </c>
      <c r="V53" s="37">
        <f>P53*E53</f>
        <v>1357.4025</v>
      </c>
      <c r="W53" s="139"/>
      <c r="X53" s="139"/>
      <c r="Y53" s="139"/>
      <c r="Z53" s="139"/>
      <c r="AA53" s="139"/>
      <c r="AB53" s="139"/>
      <c r="AC53" s="140"/>
      <c r="AD53" s="140"/>
    </row>
    <row r="54" s="119" customFormat="1" ht="72" customHeight="1" outlineLevel="2" spans="1:30">
      <c r="A54" s="162">
        <f>1+N(A53)</f>
        <v>5</v>
      </c>
      <c r="B54" s="14" t="s">
        <v>110</v>
      </c>
      <c r="C54" s="15" t="s">
        <v>111</v>
      </c>
      <c r="D54" s="142" t="s">
        <v>63</v>
      </c>
      <c r="E54" s="143">
        <v>39.118</v>
      </c>
      <c r="F54" s="143">
        <f>$F$29</f>
        <v>45</v>
      </c>
      <c r="G54" s="143">
        <f>$G$29</f>
        <v>85.5</v>
      </c>
      <c r="H54" s="143">
        <f>$H$29</f>
        <v>7.3</v>
      </c>
      <c r="I54" s="17">
        <f>(F54+G54+H54)*$I$3</f>
        <v>13.78</v>
      </c>
      <c r="J54" s="18">
        <f>ROUND(SUM(F54:I54),2)</f>
        <v>151.58</v>
      </c>
      <c r="K54" s="19">
        <f>ROUND(J54*E54,2)</f>
        <v>5929.51</v>
      </c>
      <c r="L54" s="135"/>
      <c r="M54" s="136"/>
      <c r="N54" s="136"/>
      <c r="O54" s="136"/>
      <c r="P54" s="37">
        <f>Q54+Q54*R54+S54+T54+U54</f>
        <v>137.8</v>
      </c>
      <c r="Q54" s="99">
        <f>$Q$29</f>
        <v>85.5</v>
      </c>
      <c r="R54" s="163">
        <f>$R$29</f>
        <v>0</v>
      </c>
      <c r="S54" s="99">
        <f>$S$29</f>
        <v>45</v>
      </c>
      <c r="T54" s="99">
        <f>$T$29</f>
        <v>6.5</v>
      </c>
      <c r="U54" s="99">
        <f>$U$29</f>
        <v>0.8</v>
      </c>
      <c r="V54" s="37">
        <f>P54*E54</f>
        <v>5390.4604</v>
      </c>
      <c r="W54" s="139"/>
      <c r="X54" s="139"/>
      <c r="Y54" s="139"/>
      <c r="Z54" s="139"/>
      <c r="AA54" s="139"/>
      <c r="AB54" s="139"/>
      <c r="AC54" s="140"/>
      <c r="AD54" s="140"/>
    </row>
    <row r="55" s="119" customFormat="1" ht="24" customHeight="1" outlineLevel="1" spans="1:30">
      <c r="A55" s="141"/>
      <c r="B55" s="14" t="s">
        <v>112</v>
      </c>
      <c r="C55" s="15"/>
      <c r="D55" s="142"/>
      <c r="E55" s="143"/>
      <c r="F55" s="143"/>
      <c r="G55" s="143"/>
      <c r="H55" s="143"/>
      <c r="I55" s="143"/>
      <c r="J55" s="143"/>
      <c r="K55" s="144"/>
      <c r="L55" s="135"/>
      <c r="M55" s="136"/>
      <c r="N55" s="136"/>
      <c r="O55" s="136"/>
      <c r="P55" s="137"/>
      <c r="Q55" s="137"/>
      <c r="R55" s="138"/>
      <c r="S55" s="137"/>
      <c r="T55" s="137"/>
      <c r="U55" s="137"/>
      <c r="V55" s="137"/>
      <c r="W55" s="139"/>
      <c r="X55" s="139"/>
      <c r="Y55" s="139"/>
      <c r="Z55" s="139"/>
      <c r="AA55" s="139"/>
      <c r="AB55" s="139"/>
      <c r="AC55" s="140"/>
      <c r="AD55" s="140"/>
    </row>
    <row r="56" s="119" customFormat="1" ht="24" customHeight="1" outlineLevel="1" spans="1:30">
      <c r="A56" s="132" t="s">
        <v>127</v>
      </c>
      <c r="B56" s="8" t="s">
        <v>524</v>
      </c>
      <c r="C56" s="8"/>
      <c r="D56" s="133"/>
      <c r="E56" s="134"/>
      <c r="F56" s="134"/>
      <c r="G56" s="134"/>
      <c r="H56" s="134"/>
      <c r="I56" s="134"/>
      <c r="J56" s="134"/>
      <c r="K56" s="11"/>
      <c r="L56" s="135"/>
      <c r="M56" s="136"/>
      <c r="N56" s="136"/>
      <c r="O56" s="136"/>
      <c r="P56" s="137"/>
      <c r="Q56" s="137"/>
      <c r="R56" s="138"/>
      <c r="S56" s="137"/>
      <c r="T56" s="137"/>
      <c r="U56" s="137"/>
      <c r="V56" s="137"/>
      <c r="W56" s="139"/>
      <c r="X56" s="139"/>
      <c r="Y56" s="139"/>
      <c r="Z56" s="139"/>
      <c r="AA56" s="139"/>
      <c r="AB56" s="139"/>
      <c r="AC56" s="140"/>
      <c r="AD56" s="140"/>
    </row>
    <row r="57" s="119" customFormat="1" ht="24" customHeight="1" outlineLevel="1" spans="1:30">
      <c r="A57" s="141"/>
      <c r="B57" s="14" t="s">
        <v>60</v>
      </c>
      <c r="C57" s="15"/>
      <c r="D57" s="142"/>
      <c r="E57" s="143"/>
      <c r="F57" s="143"/>
      <c r="G57" s="143"/>
      <c r="H57" s="143"/>
      <c r="I57" s="143"/>
      <c r="J57" s="143"/>
      <c r="K57" s="144"/>
      <c r="L57" s="135"/>
      <c r="M57" s="136"/>
      <c r="N57" s="136"/>
      <c r="O57" s="136"/>
      <c r="P57" s="137"/>
      <c r="Q57" s="137"/>
      <c r="R57" s="138"/>
      <c r="S57" s="137"/>
      <c r="T57" s="137"/>
      <c r="U57" s="137"/>
      <c r="V57" s="137"/>
      <c r="W57" s="139"/>
      <c r="X57" s="139"/>
      <c r="Y57" s="139"/>
      <c r="Z57" s="139"/>
      <c r="AA57" s="139"/>
      <c r="AB57" s="139"/>
      <c r="AC57" s="140"/>
      <c r="AD57" s="140"/>
    </row>
    <row r="58" s="119" customFormat="1" ht="96" customHeight="1" outlineLevel="2" spans="1:30">
      <c r="A58" s="162">
        <f>1+N(A57)</f>
        <v>1</v>
      </c>
      <c r="B58" s="14" t="s">
        <v>61</v>
      </c>
      <c r="C58" s="15" t="s">
        <v>62</v>
      </c>
      <c r="D58" s="142" t="s">
        <v>63</v>
      </c>
      <c r="E58" s="143">
        <v>14.193</v>
      </c>
      <c r="F58" s="143">
        <f>$F$7</f>
        <v>130</v>
      </c>
      <c r="G58" s="143">
        <f>$G$7</f>
        <v>628.3</v>
      </c>
      <c r="H58" s="17">
        <f>$H$7</f>
        <v>47.7</v>
      </c>
      <c r="I58" s="17">
        <f>(F58+G58+H58)*$I$3</f>
        <v>80.6</v>
      </c>
      <c r="J58" s="18">
        <f>ROUND(SUM(F58:I58),2)</f>
        <v>886.6</v>
      </c>
      <c r="K58" s="19">
        <f>ROUND(J58*E58,2)</f>
        <v>12583.51</v>
      </c>
      <c r="L58" s="135"/>
      <c r="M58" s="136"/>
      <c r="N58" s="136"/>
      <c r="O58" s="136"/>
      <c r="P58" s="137">
        <f>Q58+Q58*R58+S58+T58+U58</f>
        <v>806</v>
      </c>
      <c r="Q58" s="99">
        <f>$Q$7</f>
        <v>610</v>
      </c>
      <c r="R58" s="163">
        <f>$R$7</f>
        <v>0.03</v>
      </c>
      <c r="S58" s="99">
        <f>$S$7</f>
        <v>130</v>
      </c>
      <c r="T58" s="99">
        <f>$T$7</f>
        <v>46.2</v>
      </c>
      <c r="U58" s="99">
        <f>$U$7</f>
        <v>1.5</v>
      </c>
      <c r="V58" s="37">
        <f>P58*E58</f>
        <v>11439.558</v>
      </c>
      <c r="W58" s="139"/>
      <c r="X58" s="139"/>
      <c r="Y58" s="139"/>
      <c r="Z58" s="139"/>
      <c r="AA58" s="139"/>
      <c r="AB58" s="139"/>
      <c r="AC58" s="140"/>
      <c r="AD58" s="140"/>
    </row>
    <row r="59" s="119" customFormat="1" ht="108" customHeight="1" outlineLevel="2" spans="1:30">
      <c r="A59" s="162">
        <f>1+N(A58)</f>
        <v>2</v>
      </c>
      <c r="B59" s="14" t="s">
        <v>64</v>
      </c>
      <c r="C59" s="15" t="s">
        <v>65</v>
      </c>
      <c r="D59" s="142" t="s">
        <v>63</v>
      </c>
      <c r="E59" s="143">
        <v>14.838</v>
      </c>
      <c r="F59" s="143">
        <f>$F$8</f>
        <v>130</v>
      </c>
      <c r="G59" s="143">
        <f>$G$8</f>
        <v>854.9</v>
      </c>
      <c r="H59" s="143">
        <f>$H$8</f>
        <v>47.7</v>
      </c>
      <c r="I59" s="17">
        <f>(F59+G59+H59)*$I$3</f>
        <v>103.26</v>
      </c>
      <c r="J59" s="18">
        <f>ROUND(SUM(F59:I59),2)</f>
        <v>1135.86</v>
      </c>
      <c r="K59" s="19">
        <f>ROUND(J59*E59,2)</f>
        <v>16853.89</v>
      </c>
      <c r="L59" s="135"/>
      <c r="M59" s="136"/>
      <c r="N59" s="136"/>
      <c r="O59" s="136"/>
      <c r="P59" s="137">
        <f>Q59+Q59*R59+S59+T59+U59</f>
        <v>1032.6</v>
      </c>
      <c r="Q59" s="99">
        <f>$Q$8</f>
        <v>830</v>
      </c>
      <c r="R59" s="163">
        <f>$R$8</f>
        <v>0.03</v>
      </c>
      <c r="S59" s="99">
        <f>$S$8</f>
        <v>130</v>
      </c>
      <c r="T59" s="99">
        <f>$T$8</f>
        <v>46.2</v>
      </c>
      <c r="U59" s="99">
        <f>$U$8</f>
        <v>1.5</v>
      </c>
      <c r="V59" s="37">
        <f>P59*E59</f>
        <v>15321.7188</v>
      </c>
      <c r="W59" s="139"/>
      <c r="X59" s="139"/>
      <c r="Y59" s="139"/>
      <c r="Z59" s="139"/>
      <c r="AA59" s="139"/>
      <c r="AB59" s="139"/>
      <c r="AC59" s="140"/>
      <c r="AD59" s="140"/>
    </row>
    <row r="60" s="119" customFormat="1" ht="36" customHeight="1" outlineLevel="2" spans="1:30">
      <c r="A60" s="162">
        <f>1+N(A59)</f>
        <v>3</v>
      </c>
      <c r="B60" s="14" t="s">
        <v>68</v>
      </c>
      <c r="C60" s="15" t="s">
        <v>69</v>
      </c>
      <c r="D60" s="142" t="s">
        <v>70</v>
      </c>
      <c r="E60" s="143">
        <v>15.966</v>
      </c>
      <c r="F60" s="143">
        <f>$F$9</f>
        <v>12</v>
      </c>
      <c r="G60" s="143">
        <f>$G$9</f>
        <v>19.57</v>
      </c>
      <c r="H60" s="143">
        <f>$H$9</f>
        <v>0.5</v>
      </c>
      <c r="I60" s="17">
        <f>(F60+G60+H60)*$I$3</f>
        <v>3.207</v>
      </c>
      <c r="J60" s="18">
        <f>ROUND(SUM(F60:I60),2)</f>
        <v>35.28</v>
      </c>
      <c r="K60" s="19">
        <f>ROUND(J60*E60,2)</f>
        <v>563.28</v>
      </c>
      <c r="L60" s="135"/>
      <c r="M60" s="136"/>
      <c r="N60" s="136"/>
      <c r="O60" s="136"/>
      <c r="P60" s="37">
        <f>Q60+Q60*R60+S60+T60+U60</f>
        <v>32.07</v>
      </c>
      <c r="Q60" s="99">
        <f>$Q$9</f>
        <v>19</v>
      </c>
      <c r="R60" s="163">
        <f>$R$9</f>
        <v>0.03</v>
      </c>
      <c r="S60" s="99">
        <f>$S$9</f>
        <v>12</v>
      </c>
      <c r="T60" s="99">
        <f>$T$9</f>
        <v>0.3</v>
      </c>
      <c r="U60" s="99">
        <f>$U$9</f>
        <v>0.2</v>
      </c>
      <c r="V60" s="37">
        <f>P60*E60</f>
        <v>512.02962</v>
      </c>
      <c r="W60" s="139"/>
      <c r="X60" s="139"/>
      <c r="Y60" s="139"/>
      <c r="Z60" s="139"/>
      <c r="AA60" s="139"/>
      <c r="AB60" s="139"/>
      <c r="AC60" s="140"/>
      <c r="AD60" s="140"/>
    </row>
    <row r="61" s="119" customFormat="1" ht="48" customHeight="1" outlineLevel="2" spans="1:30">
      <c r="A61" s="162">
        <f>1+N(A60)</f>
        <v>4</v>
      </c>
      <c r="B61" s="14" t="s">
        <v>71</v>
      </c>
      <c r="C61" s="15" t="s">
        <v>72</v>
      </c>
      <c r="D61" s="142" t="s">
        <v>63</v>
      </c>
      <c r="E61" s="143">
        <f>+E58+E59</f>
        <v>29.031</v>
      </c>
      <c r="F61" s="143">
        <f>$F$10</f>
        <v>40</v>
      </c>
      <c r="G61" s="143">
        <f>$G$10</f>
        <v>15</v>
      </c>
      <c r="H61" s="143">
        <f>$H$10</f>
        <v>0.8</v>
      </c>
      <c r="I61" s="17">
        <f>(F61+G61+H61)*$I$3</f>
        <v>5.58</v>
      </c>
      <c r="J61" s="18">
        <f>ROUND(SUM(F61:I61),2)</f>
        <v>61.38</v>
      </c>
      <c r="K61" s="19">
        <f>ROUND(J61*E61,2)</f>
        <v>1781.92</v>
      </c>
      <c r="L61" s="135"/>
      <c r="M61" s="136"/>
      <c r="N61" s="136"/>
      <c r="O61" s="136"/>
      <c r="P61" s="37">
        <f>Q61+Q61*R61+S61+T61+U61</f>
        <v>55.8</v>
      </c>
      <c r="Q61" s="99">
        <f>$Q$10</f>
        <v>15</v>
      </c>
      <c r="R61" s="163">
        <f>$R$10</f>
        <v>0</v>
      </c>
      <c r="S61" s="99">
        <f>$S$10</f>
        <v>40</v>
      </c>
      <c r="T61" s="99">
        <f>$T$10</f>
        <v>0.5</v>
      </c>
      <c r="U61" s="99">
        <f>$U$10</f>
        <v>0.3</v>
      </c>
      <c r="V61" s="37">
        <f>P61*E61</f>
        <v>1619.9298</v>
      </c>
      <c r="W61" s="139"/>
      <c r="X61" s="139"/>
      <c r="Y61" s="139"/>
      <c r="Z61" s="139"/>
      <c r="AA61" s="139"/>
      <c r="AB61" s="139"/>
      <c r="AC61" s="140"/>
      <c r="AD61" s="140"/>
    </row>
    <row r="62" s="119" customFormat="1" ht="24" customHeight="1" outlineLevel="1" spans="1:30">
      <c r="A62" s="141"/>
      <c r="B62" s="14" t="s">
        <v>494</v>
      </c>
      <c r="C62" s="15"/>
      <c r="D62" s="142"/>
      <c r="E62" s="143"/>
      <c r="F62" s="143"/>
      <c r="G62" s="143"/>
      <c r="H62" s="143"/>
      <c r="I62" s="143"/>
      <c r="J62" s="143"/>
      <c r="K62" s="144"/>
      <c r="L62" s="135"/>
      <c r="M62" s="136"/>
      <c r="N62" s="136"/>
      <c r="O62" s="136"/>
      <c r="P62" s="137"/>
      <c r="Q62" s="137"/>
      <c r="R62" s="138"/>
      <c r="S62" s="137"/>
      <c r="T62" s="137"/>
      <c r="U62" s="137"/>
      <c r="V62" s="137"/>
      <c r="W62" s="139"/>
      <c r="X62" s="139"/>
      <c r="Y62" s="139"/>
      <c r="Z62" s="139"/>
      <c r="AA62" s="139"/>
      <c r="AB62" s="139"/>
      <c r="AC62" s="140"/>
      <c r="AD62" s="140"/>
    </row>
    <row r="63" s="119" customFormat="1" ht="72" customHeight="1" outlineLevel="2" spans="1:30">
      <c r="A63" s="162">
        <f t="shared" ref="A63:A74" si="15">1+N(A62)</f>
        <v>1</v>
      </c>
      <c r="B63" s="164" t="s">
        <v>74</v>
      </c>
      <c r="C63" s="15" t="s">
        <v>75</v>
      </c>
      <c r="D63" s="142" t="s">
        <v>63</v>
      </c>
      <c r="E63" s="143">
        <v>5.314</v>
      </c>
      <c r="F63" s="143">
        <f>$F$12</f>
        <v>95</v>
      </c>
      <c r="G63" s="143">
        <f>$G$12</f>
        <v>813.75</v>
      </c>
      <c r="H63" s="143">
        <f>$H$12</f>
        <v>18.3</v>
      </c>
      <c r="I63" s="17">
        <f t="shared" ref="I63:I74" si="16">(F63+G63+H63)*$I$3</f>
        <v>92.705</v>
      </c>
      <c r="J63" s="18">
        <f t="shared" ref="J63:J74" si="17">ROUND(SUM(F63:I63),2)</f>
        <v>1019.76</v>
      </c>
      <c r="K63" s="19">
        <f t="shared" ref="K63:K74" si="18">ROUND(J63*E63,2)</f>
        <v>5419</v>
      </c>
      <c r="L63" s="135"/>
      <c r="M63" s="136"/>
      <c r="N63" s="136"/>
      <c r="O63" s="136"/>
      <c r="P63" s="37">
        <f t="shared" ref="P63:P74" si="19">Q63+Q63*R63+S63+T63+U63</f>
        <v>927.05</v>
      </c>
      <c r="Q63" s="99">
        <f>$Q$12</f>
        <v>775</v>
      </c>
      <c r="R63" s="163">
        <f>$R$12</f>
        <v>0.05</v>
      </c>
      <c r="S63" s="99">
        <f>$S$12</f>
        <v>95</v>
      </c>
      <c r="T63" s="99">
        <f>$T$12</f>
        <v>16.8</v>
      </c>
      <c r="U63" s="99">
        <f>$U$12</f>
        <v>1.5</v>
      </c>
      <c r="V63" s="37">
        <f t="shared" ref="V63:V74" si="20">P63*E63</f>
        <v>4926.3437</v>
      </c>
      <c r="W63" s="139"/>
      <c r="X63" s="139"/>
      <c r="Y63" s="139"/>
      <c r="Z63" s="139"/>
      <c r="AA63" s="139"/>
      <c r="AB63" s="139"/>
      <c r="AC63" s="140"/>
      <c r="AD63" s="140"/>
    </row>
    <row r="64" s="119" customFormat="1" ht="96" customHeight="1" outlineLevel="2" spans="1:30">
      <c r="A64" s="162">
        <f t="shared" si="15"/>
        <v>2</v>
      </c>
      <c r="B64" s="165" t="s">
        <v>76</v>
      </c>
      <c r="C64" s="166" t="s">
        <v>77</v>
      </c>
      <c r="D64" s="142" t="s">
        <v>63</v>
      </c>
      <c r="E64" s="143">
        <v>25.354</v>
      </c>
      <c r="F64" s="143">
        <f>$F$13</f>
        <v>145</v>
      </c>
      <c r="G64" s="143">
        <f>$G$13</f>
        <v>651</v>
      </c>
      <c r="H64" s="143">
        <f>$H$13</f>
        <v>113.55</v>
      </c>
      <c r="I64" s="17">
        <f t="shared" si="16"/>
        <v>90.955</v>
      </c>
      <c r="J64" s="18">
        <f t="shared" si="17"/>
        <v>1000.51</v>
      </c>
      <c r="K64" s="19">
        <f t="shared" si="18"/>
        <v>25366.93</v>
      </c>
      <c r="L64" s="135"/>
      <c r="M64" s="136"/>
      <c r="N64" s="136"/>
      <c r="O64" s="136"/>
      <c r="P64" s="37">
        <f t="shared" si="19"/>
        <v>909.55</v>
      </c>
      <c r="Q64" s="99">
        <f>$Q$13</f>
        <v>620</v>
      </c>
      <c r="R64" s="163">
        <f>$R$13</f>
        <v>0.05</v>
      </c>
      <c r="S64" s="99">
        <f>$S$13</f>
        <v>145</v>
      </c>
      <c r="T64" s="99">
        <f>$T$13</f>
        <v>111.75</v>
      </c>
      <c r="U64" s="99">
        <f>$U$13</f>
        <v>1.8</v>
      </c>
      <c r="V64" s="37">
        <f t="shared" si="20"/>
        <v>23060.7307</v>
      </c>
      <c r="W64" s="139"/>
      <c r="X64" s="139"/>
      <c r="Y64" s="139"/>
      <c r="Z64" s="139"/>
      <c r="AA64" s="139"/>
      <c r="AB64" s="139"/>
      <c r="AC64" s="140"/>
      <c r="AD64" s="140"/>
    </row>
    <row r="65" s="119" customFormat="1" ht="60" customHeight="1" outlineLevel="2" spans="1:30">
      <c r="A65" s="162">
        <f t="shared" si="15"/>
        <v>3</v>
      </c>
      <c r="B65" s="14" t="s">
        <v>226</v>
      </c>
      <c r="C65" s="15" t="s">
        <v>225</v>
      </c>
      <c r="D65" s="142" t="s">
        <v>63</v>
      </c>
      <c r="E65" s="143">
        <v>5.421</v>
      </c>
      <c r="F65" s="143">
        <f>$F$14</f>
        <v>35</v>
      </c>
      <c r="G65" s="143">
        <f>$G$14</f>
        <v>346.08</v>
      </c>
      <c r="H65" s="143">
        <f>$H$14</f>
        <v>54.7</v>
      </c>
      <c r="I65" s="17">
        <f t="shared" si="16"/>
        <v>43.578</v>
      </c>
      <c r="J65" s="18">
        <f t="shared" si="17"/>
        <v>479.36</v>
      </c>
      <c r="K65" s="19">
        <f t="shared" si="18"/>
        <v>2598.61</v>
      </c>
      <c r="L65" s="135"/>
      <c r="M65" s="136"/>
      <c r="N65" s="136"/>
      <c r="O65" s="136"/>
      <c r="P65" s="37">
        <f t="shared" si="19"/>
        <v>435.78</v>
      </c>
      <c r="Q65" s="99">
        <f>$Q$14</f>
        <v>336</v>
      </c>
      <c r="R65" s="163">
        <f>$R$14</f>
        <v>0.03</v>
      </c>
      <c r="S65" s="99">
        <f>$S$14</f>
        <v>35</v>
      </c>
      <c r="T65" s="99">
        <f>$T$14</f>
        <v>53.5</v>
      </c>
      <c r="U65" s="99">
        <f>$U$14</f>
        <v>1.2</v>
      </c>
      <c r="V65" s="37">
        <f t="shared" si="20"/>
        <v>2362.36338</v>
      </c>
      <c r="W65" s="139"/>
      <c r="X65" s="139"/>
      <c r="Y65" s="139"/>
      <c r="Z65" s="139"/>
      <c r="AA65" s="139"/>
      <c r="AB65" s="139"/>
      <c r="AC65" s="140"/>
      <c r="AD65" s="140"/>
    </row>
    <row r="66" s="119" customFormat="1" ht="72" customHeight="1" outlineLevel="2" spans="1:30">
      <c r="A66" s="162">
        <f t="shared" si="15"/>
        <v>4</v>
      </c>
      <c r="B66" s="165" t="s">
        <v>228</v>
      </c>
      <c r="C66" s="15" t="s">
        <v>229</v>
      </c>
      <c r="D66" s="142" t="s">
        <v>63</v>
      </c>
      <c r="E66" s="143">
        <v>39.655</v>
      </c>
      <c r="F66" s="143">
        <f>$F$15</f>
        <v>110</v>
      </c>
      <c r="G66" s="143">
        <f>$G$15</f>
        <v>86.355</v>
      </c>
      <c r="H66" s="143">
        <f>$H$15</f>
        <v>56.797</v>
      </c>
      <c r="I66" s="17">
        <f t="shared" si="16"/>
        <v>25.3152</v>
      </c>
      <c r="J66" s="18">
        <f t="shared" si="17"/>
        <v>278.47</v>
      </c>
      <c r="K66" s="19">
        <f t="shared" si="18"/>
        <v>11042.73</v>
      </c>
      <c r="L66" s="135"/>
      <c r="M66" s="136"/>
      <c r="N66" s="136"/>
      <c r="O66" s="136"/>
      <c r="P66" s="37">
        <f t="shared" si="19"/>
        <v>253.152</v>
      </c>
      <c r="Q66" s="99">
        <f>$Q$15</f>
        <v>85.5</v>
      </c>
      <c r="R66" s="163">
        <f>$R$15</f>
        <v>0.01</v>
      </c>
      <c r="S66" s="99">
        <f>$S$15</f>
        <v>110</v>
      </c>
      <c r="T66" s="99">
        <f>$T$15</f>
        <v>55.997</v>
      </c>
      <c r="U66" s="99">
        <f>$U$15</f>
        <v>0.8</v>
      </c>
      <c r="V66" s="37">
        <f t="shared" si="20"/>
        <v>10038.74256</v>
      </c>
      <c r="W66" s="139"/>
      <c r="X66" s="139"/>
      <c r="Y66" s="139"/>
      <c r="Z66" s="139"/>
      <c r="AA66" s="139"/>
      <c r="AB66" s="139"/>
      <c r="AC66" s="140"/>
      <c r="AD66" s="140"/>
    </row>
    <row r="67" s="119" customFormat="1" ht="48" customHeight="1" outlineLevel="2" spans="1:30">
      <c r="A67" s="162">
        <f t="shared" si="15"/>
        <v>5</v>
      </c>
      <c r="B67" s="165" t="s">
        <v>82</v>
      </c>
      <c r="C67" s="166" t="s">
        <v>83</v>
      </c>
      <c r="D67" s="165" t="s">
        <v>63</v>
      </c>
      <c r="E67" s="143">
        <f>0.31*2.2*2+0.25*1.2</f>
        <v>1.664</v>
      </c>
      <c r="F67" s="143">
        <f>$F$16</f>
        <v>110</v>
      </c>
      <c r="G67" s="143">
        <f>$G$16</f>
        <v>454.5</v>
      </c>
      <c r="H67" s="143">
        <f>$H$16</f>
        <v>55.2</v>
      </c>
      <c r="I67" s="17">
        <f t="shared" si="16"/>
        <v>61.97</v>
      </c>
      <c r="J67" s="18">
        <f t="shared" si="17"/>
        <v>681.67</v>
      </c>
      <c r="K67" s="19">
        <f t="shared" si="18"/>
        <v>1134.3</v>
      </c>
      <c r="L67" s="135"/>
      <c r="M67" s="136"/>
      <c r="N67" s="136"/>
      <c r="O67" s="136"/>
      <c r="P67" s="37">
        <f t="shared" si="19"/>
        <v>619.7</v>
      </c>
      <c r="Q67" s="99">
        <f>$Q$16</f>
        <v>450</v>
      </c>
      <c r="R67" s="163">
        <f>$R$16</f>
        <v>0.01</v>
      </c>
      <c r="S67" s="99">
        <f>$S$16</f>
        <v>110</v>
      </c>
      <c r="T67" s="99">
        <f>$T$16</f>
        <v>54</v>
      </c>
      <c r="U67" s="99">
        <f>$U$16</f>
        <v>1.2</v>
      </c>
      <c r="V67" s="37">
        <f t="shared" si="20"/>
        <v>1031.1808</v>
      </c>
      <c r="W67" s="139"/>
      <c r="X67" s="139"/>
      <c r="Y67" s="139"/>
      <c r="Z67" s="139"/>
      <c r="AA67" s="139"/>
      <c r="AB67" s="139"/>
      <c r="AC67" s="140"/>
      <c r="AD67" s="140"/>
    </row>
    <row r="68" s="119" customFormat="1" ht="48" customHeight="1" outlineLevel="2" spans="1:30">
      <c r="A68" s="162">
        <f t="shared" si="15"/>
        <v>6</v>
      </c>
      <c r="B68" s="165" t="s">
        <v>84</v>
      </c>
      <c r="C68" s="166" t="s">
        <v>83</v>
      </c>
      <c r="D68" s="165" t="s">
        <v>63</v>
      </c>
      <c r="E68" s="143">
        <f>0.34*2.75*2*2</f>
        <v>3.74</v>
      </c>
      <c r="F68" s="143">
        <f>$F$17</f>
        <v>110</v>
      </c>
      <c r="G68" s="143">
        <f>$G$17</f>
        <v>454.5</v>
      </c>
      <c r="H68" s="143">
        <f>$H$17</f>
        <v>55.2</v>
      </c>
      <c r="I68" s="17">
        <f t="shared" si="16"/>
        <v>61.97</v>
      </c>
      <c r="J68" s="18">
        <f t="shared" si="17"/>
        <v>681.67</v>
      </c>
      <c r="K68" s="19">
        <f t="shared" si="18"/>
        <v>2549.45</v>
      </c>
      <c r="L68" s="135"/>
      <c r="M68" s="136"/>
      <c r="N68" s="136"/>
      <c r="O68" s="136"/>
      <c r="P68" s="37">
        <f t="shared" si="19"/>
        <v>619.7</v>
      </c>
      <c r="Q68" s="99">
        <f>$Q$17</f>
        <v>450</v>
      </c>
      <c r="R68" s="163">
        <f>$R$17</f>
        <v>0.01</v>
      </c>
      <c r="S68" s="99">
        <f>$S$17</f>
        <v>110</v>
      </c>
      <c r="T68" s="99">
        <f>$T$17</f>
        <v>54</v>
      </c>
      <c r="U68" s="99">
        <f>$U$17</f>
        <v>1.2</v>
      </c>
      <c r="V68" s="37">
        <f t="shared" si="20"/>
        <v>2317.678</v>
      </c>
      <c r="W68" s="139"/>
      <c r="X68" s="139"/>
      <c r="Y68" s="139"/>
      <c r="Z68" s="139"/>
      <c r="AA68" s="139"/>
      <c r="AB68" s="139"/>
      <c r="AC68" s="140"/>
      <c r="AD68" s="140"/>
    </row>
    <row r="69" s="119" customFormat="1" ht="60" customHeight="1" outlineLevel="2" spans="1:30">
      <c r="A69" s="162">
        <f t="shared" si="15"/>
        <v>7</v>
      </c>
      <c r="B69" s="165" t="s">
        <v>85</v>
      </c>
      <c r="C69" s="166" t="s">
        <v>86</v>
      </c>
      <c r="D69" s="165" t="s">
        <v>63</v>
      </c>
      <c r="E69" s="143">
        <f>+(0.061+0.475+0.114+0.074)*0.95*2</f>
        <v>1.3756</v>
      </c>
      <c r="F69" s="143">
        <f>$F$18</f>
        <v>110</v>
      </c>
      <c r="G69" s="143">
        <f>$G$18</f>
        <v>454.5</v>
      </c>
      <c r="H69" s="143">
        <f>$H$18</f>
        <v>55.2</v>
      </c>
      <c r="I69" s="17">
        <f t="shared" si="16"/>
        <v>61.97</v>
      </c>
      <c r="J69" s="18">
        <f t="shared" si="17"/>
        <v>681.67</v>
      </c>
      <c r="K69" s="19">
        <f t="shared" si="18"/>
        <v>937.71</v>
      </c>
      <c r="L69" s="135"/>
      <c r="M69" s="136"/>
      <c r="N69" s="136"/>
      <c r="O69" s="136"/>
      <c r="P69" s="37">
        <f t="shared" si="19"/>
        <v>619.7</v>
      </c>
      <c r="Q69" s="99">
        <f>$Q$18</f>
        <v>450</v>
      </c>
      <c r="R69" s="163">
        <f>$R$18</f>
        <v>0.01</v>
      </c>
      <c r="S69" s="99">
        <f>$S$18</f>
        <v>110</v>
      </c>
      <c r="T69" s="99">
        <f>$T$18</f>
        <v>54</v>
      </c>
      <c r="U69" s="99">
        <f>$U$18</f>
        <v>1.2</v>
      </c>
      <c r="V69" s="37">
        <f t="shared" si="20"/>
        <v>852.45932</v>
      </c>
      <c r="W69" s="139"/>
      <c r="X69" s="139"/>
      <c r="Y69" s="139"/>
      <c r="Z69" s="139"/>
      <c r="AA69" s="139"/>
      <c r="AB69" s="139"/>
      <c r="AC69" s="140"/>
      <c r="AD69" s="140"/>
    </row>
    <row r="70" s="119" customFormat="1" ht="48" customHeight="1" outlineLevel="2" spans="1:30">
      <c r="A70" s="162">
        <f t="shared" si="15"/>
        <v>8</v>
      </c>
      <c r="B70" s="165" t="s">
        <v>87</v>
      </c>
      <c r="C70" s="166" t="s">
        <v>88</v>
      </c>
      <c r="D70" s="165" t="s">
        <v>63</v>
      </c>
      <c r="E70" s="143">
        <v>0.253</v>
      </c>
      <c r="F70" s="143">
        <f>$F$19</f>
        <v>110</v>
      </c>
      <c r="G70" s="143">
        <f>$G$19</f>
        <v>454.5</v>
      </c>
      <c r="H70" s="143">
        <f>$H$19</f>
        <v>55.2</v>
      </c>
      <c r="I70" s="17">
        <f t="shared" si="16"/>
        <v>61.97</v>
      </c>
      <c r="J70" s="18">
        <f t="shared" si="17"/>
        <v>681.67</v>
      </c>
      <c r="K70" s="19">
        <f t="shared" si="18"/>
        <v>172.46</v>
      </c>
      <c r="L70" s="135"/>
      <c r="M70" s="136"/>
      <c r="N70" s="136"/>
      <c r="O70" s="136"/>
      <c r="P70" s="37">
        <f t="shared" si="19"/>
        <v>619.7</v>
      </c>
      <c r="Q70" s="99">
        <f>$Q$19</f>
        <v>450</v>
      </c>
      <c r="R70" s="163">
        <f>$R$19</f>
        <v>0.01</v>
      </c>
      <c r="S70" s="99">
        <f>$S$19</f>
        <v>110</v>
      </c>
      <c r="T70" s="99">
        <f>$T$19</f>
        <v>54</v>
      </c>
      <c r="U70" s="99">
        <f>$U$19</f>
        <v>1.2</v>
      </c>
      <c r="V70" s="37">
        <f t="shared" si="20"/>
        <v>156.7841</v>
      </c>
      <c r="W70" s="139"/>
      <c r="X70" s="139"/>
      <c r="Y70" s="139"/>
      <c r="Z70" s="139"/>
      <c r="AA70" s="139"/>
      <c r="AB70" s="139"/>
      <c r="AC70" s="140"/>
      <c r="AD70" s="140"/>
    </row>
    <row r="71" s="119" customFormat="1" ht="48" customHeight="1" outlineLevel="2" spans="1:30">
      <c r="A71" s="162">
        <f t="shared" si="15"/>
        <v>9</v>
      </c>
      <c r="B71" s="165" t="s">
        <v>91</v>
      </c>
      <c r="C71" s="166" t="s">
        <v>92</v>
      </c>
      <c r="D71" s="165" t="s">
        <v>70</v>
      </c>
      <c r="E71" s="143">
        <v>25.991</v>
      </c>
      <c r="F71" s="143">
        <f>$F$20</f>
        <v>12</v>
      </c>
      <c r="G71" s="143">
        <f>$G$20</f>
        <v>25.75</v>
      </c>
      <c r="H71" s="143">
        <f>$H$20</f>
        <v>3.8</v>
      </c>
      <c r="I71" s="17">
        <f t="shared" si="16"/>
        <v>4.155</v>
      </c>
      <c r="J71" s="18">
        <f t="shared" si="17"/>
        <v>45.71</v>
      </c>
      <c r="K71" s="19">
        <f t="shared" si="18"/>
        <v>1188.05</v>
      </c>
      <c r="L71" s="135"/>
      <c r="M71" s="136"/>
      <c r="N71" s="136"/>
      <c r="O71" s="136"/>
      <c r="P71" s="37">
        <f t="shared" si="19"/>
        <v>41.55</v>
      </c>
      <c r="Q71" s="99">
        <f>$Q$20</f>
        <v>25</v>
      </c>
      <c r="R71" s="163">
        <f>$R$20</f>
        <v>0.03</v>
      </c>
      <c r="S71" s="99">
        <f>$S$20</f>
        <v>12</v>
      </c>
      <c r="T71" s="99">
        <f>$T$20</f>
        <v>3.5</v>
      </c>
      <c r="U71" s="99">
        <f>$U$20</f>
        <v>0.3</v>
      </c>
      <c r="V71" s="37">
        <f t="shared" si="20"/>
        <v>1079.92605</v>
      </c>
      <c r="W71" s="139"/>
      <c r="X71" s="139"/>
      <c r="Y71" s="139"/>
      <c r="Z71" s="139"/>
      <c r="AA71" s="139"/>
      <c r="AB71" s="139"/>
      <c r="AC71" s="140"/>
      <c r="AD71" s="140"/>
    </row>
    <row r="72" s="119" customFormat="1" ht="36" customHeight="1" outlineLevel="2" spans="1:30">
      <c r="A72" s="162">
        <f t="shared" si="15"/>
        <v>10</v>
      </c>
      <c r="B72" s="165" t="s">
        <v>519</v>
      </c>
      <c r="C72" s="166" t="s">
        <v>520</v>
      </c>
      <c r="D72" s="165" t="s">
        <v>70</v>
      </c>
      <c r="E72" s="143">
        <v>12.848</v>
      </c>
      <c r="F72" s="143">
        <f>$F$21</f>
        <v>12</v>
      </c>
      <c r="G72" s="143">
        <f>$G$21</f>
        <v>30.385</v>
      </c>
      <c r="H72" s="143">
        <f>$H$21</f>
        <v>3.8</v>
      </c>
      <c r="I72" s="17">
        <f t="shared" si="16"/>
        <v>4.6185</v>
      </c>
      <c r="J72" s="18">
        <f t="shared" si="17"/>
        <v>50.8</v>
      </c>
      <c r="K72" s="19">
        <f t="shared" si="18"/>
        <v>652.68</v>
      </c>
      <c r="L72" s="135"/>
      <c r="M72" s="136"/>
      <c r="N72" s="136"/>
      <c r="O72" s="136"/>
      <c r="P72" s="37">
        <f t="shared" si="19"/>
        <v>46.185</v>
      </c>
      <c r="Q72" s="99">
        <f>$Q$21</f>
        <v>29.5</v>
      </c>
      <c r="R72" s="163">
        <f>$R$21</f>
        <v>0.03</v>
      </c>
      <c r="S72" s="99">
        <f>$S$21</f>
        <v>12</v>
      </c>
      <c r="T72" s="99">
        <f>$T$21</f>
        <v>3.5</v>
      </c>
      <c r="U72" s="99">
        <f>$U$21</f>
        <v>0.3</v>
      </c>
      <c r="V72" s="37">
        <f t="shared" si="20"/>
        <v>593.38488</v>
      </c>
      <c r="W72" s="139"/>
      <c r="X72" s="139"/>
      <c r="Y72" s="139"/>
      <c r="Z72" s="139"/>
      <c r="AA72" s="139"/>
      <c r="AB72" s="139"/>
      <c r="AC72" s="140"/>
      <c r="AD72" s="140"/>
    </row>
    <row r="73" s="119" customFormat="1" ht="48" customHeight="1" outlineLevel="2" spans="1:30">
      <c r="A73" s="162">
        <f t="shared" si="15"/>
        <v>11</v>
      </c>
      <c r="B73" s="165" t="s">
        <v>97</v>
      </c>
      <c r="C73" s="166" t="s">
        <v>98</v>
      </c>
      <c r="D73" s="165" t="s">
        <v>70</v>
      </c>
      <c r="E73" s="143">
        <v>9.405</v>
      </c>
      <c r="F73" s="143">
        <f>$F$22</f>
        <v>22</v>
      </c>
      <c r="G73" s="143">
        <f>$G$22</f>
        <v>58.195</v>
      </c>
      <c r="H73" s="143">
        <f>$H$22</f>
        <v>6.3</v>
      </c>
      <c r="I73" s="17">
        <f t="shared" si="16"/>
        <v>8.6495</v>
      </c>
      <c r="J73" s="18">
        <f t="shared" si="17"/>
        <v>95.14</v>
      </c>
      <c r="K73" s="19">
        <f t="shared" si="18"/>
        <v>894.79</v>
      </c>
      <c r="L73" s="135"/>
      <c r="M73" s="136"/>
      <c r="N73" s="136"/>
      <c r="O73" s="136"/>
      <c r="P73" s="37">
        <f t="shared" si="19"/>
        <v>86.495</v>
      </c>
      <c r="Q73" s="99">
        <f>$Q$22</f>
        <v>56.5</v>
      </c>
      <c r="R73" s="163">
        <f>$R$22</f>
        <v>0.03</v>
      </c>
      <c r="S73" s="99">
        <f>$S$22</f>
        <v>22</v>
      </c>
      <c r="T73" s="99">
        <f>$T$22</f>
        <v>6</v>
      </c>
      <c r="U73" s="99">
        <f>$U$22</f>
        <v>0.3</v>
      </c>
      <c r="V73" s="37">
        <f t="shared" si="20"/>
        <v>813.485475</v>
      </c>
      <c r="W73" s="139"/>
      <c r="X73" s="139"/>
      <c r="Y73" s="139"/>
      <c r="Z73" s="139"/>
      <c r="AA73" s="139"/>
      <c r="AB73" s="139"/>
      <c r="AC73" s="140"/>
      <c r="AD73" s="140"/>
    </row>
    <row r="74" s="119" customFormat="1" ht="48" customHeight="1" outlineLevel="2" spans="1:30">
      <c r="A74" s="162">
        <f t="shared" si="15"/>
        <v>12</v>
      </c>
      <c r="B74" s="165" t="s">
        <v>99</v>
      </c>
      <c r="C74" s="166" t="s">
        <v>100</v>
      </c>
      <c r="D74" s="165" t="s">
        <v>70</v>
      </c>
      <c r="E74" s="143">
        <v>29.322</v>
      </c>
      <c r="F74" s="143">
        <f>$F$23</f>
        <v>12</v>
      </c>
      <c r="G74" s="143">
        <f>$G$23</f>
        <v>23.4325</v>
      </c>
      <c r="H74" s="143">
        <f>$H$23</f>
        <v>3.8</v>
      </c>
      <c r="I74" s="17">
        <f t="shared" si="16"/>
        <v>3.92325</v>
      </c>
      <c r="J74" s="18">
        <f t="shared" si="17"/>
        <v>43.16</v>
      </c>
      <c r="K74" s="19">
        <f t="shared" si="18"/>
        <v>1265.54</v>
      </c>
      <c r="L74" s="135"/>
      <c r="M74" s="136"/>
      <c r="N74" s="136"/>
      <c r="O74" s="136"/>
      <c r="P74" s="37">
        <f t="shared" si="19"/>
        <v>39.2325</v>
      </c>
      <c r="Q74" s="99">
        <f>$Q$23</f>
        <v>22.75</v>
      </c>
      <c r="R74" s="163">
        <f>$R$23</f>
        <v>0.03</v>
      </c>
      <c r="S74" s="99">
        <f>$S$23</f>
        <v>12</v>
      </c>
      <c r="T74" s="99">
        <f>$T$23</f>
        <v>3.5</v>
      </c>
      <c r="U74" s="99">
        <f>$U$23</f>
        <v>0.3</v>
      </c>
      <c r="V74" s="37">
        <f t="shared" si="20"/>
        <v>1150.375365</v>
      </c>
      <c r="W74" s="139"/>
      <c r="X74" s="139"/>
      <c r="Y74" s="139"/>
      <c r="Z74" s="139"/>
      <c r="AA74" s="139"/>
      <c r="AB74" s="139"/>
      <c r="AC74" s="140"/>
      <c r="AD74" s="140"/>
    </row>
    <row r="75" s="119" customFormat="1" ht="24" customHeight="1" outlineLevel="1" spans="1:30">
      <c r="A75" s="141"/>
      <c r="B75" s="14" t="s">
        <v>101</v>
      </c>
      <c r="C75" s="15"/>
      <c r="D75" s="142"/>
      <c r="E75" s="143"/>
      <c r="F75" s="143"/>
      <c r="G75" s="143"/>
      <c r="H75" s="143"/>
      <c r="I75" s="143"/>
      <c r="J75" s="143"/>
      <c r="K75" s="144"/>
      <c r="L75" s="135"/>
      <c r="M75" s="136"/>
      <c r="N75" s="136"/>
      <c r="O75" s="136"/>
      <c r="P75" s="137"/>
      <c r="Q75" s="137"/>
      <c r="R75" s="138"/>
      <c r="S75" s="137"/>
      <c r="T75" s="137"/>
      <c r="U75" s="137"/>
      <c r="V75" s="137"/>
      <c r="W75" s="139"/>
      <c r="X75" s="139"/>
      <c r="Y75" s="139"/>
      <c r="Z75" s="139"/>
      <c r="AA75" s="139"/>
      <c r="AB75" s="139"/>
      <c r="AC75" s="140"/>
      <c r="AD75" s="140"/>
    </row>
    <row r="76" s="119" customFormat="1" ht="96" customHeight="1" outlineLevel="2" spans="1:30">
      <c r="A76" s="162">
        <f>1+N(A75)</f>
        <v>1</v>
      </c>
      <c r="B76" s="14" t="s">
        <v>460</v>
      </c>
      <c r="C76" s="167" t="s">
        <v>103</v>
      </c>
      <c r="D76" s="142" t="s">
        <v>63</v>
      </c>
      <c r="E76" s="143">
        <v>29.392</v>
      </c>
      <c r="F76" s="143">
        <f>$F$25</f>
        <v>70</v>
      </c>
      <c r="G76" s="143">
        <f>$G$25</f>
        <v>0</v>
      </c>
      <c r="H76" s="143">
        <f>$H$25</f>
        <v>66.711</v>
      </c>
      <c r="I76" s="17">
        <f>(F76+G76+H76)*$I$3</f>
        <v>13.6711</v>
      </c>
      <c r="J76" s="18">
        <f>ROUND(SUM(F76:I76),2)</f>
        <v>150.38</v>
      </c>
      <c r="K76" s="19">
        <f>ROUND(J76*E76,2)</f>
        <v>4419.97</v>
      </c>
      <c r="L76" s="135"/>
      <c r="M76" s="136"/>
      <c r="N76" s="136"/>
      <c r="O76" s="136"/>
      <c r="P76" s="37">
        <f>Q76+Q76*R76+S76+T76+U76</f>
        <v>136.711</v>
      </c>
      <c r="Q76" s="99">
        <f>$Q$25</f>
        <v>0</v>
      </c>
      <c r="R76" s="163">
        <f>$R$25</f>
        <v>0.01</v>
      </c>
      <c r="S76" s="99">
        <f>$S$25</f>
        <v>70</v>
      </c>
      <c r="T76" s="99">
        <f>$T$25</f>
        <v>64.711</v>
      </c>
      <c r="U76" s="99">
        <f>$U$25</f>
        <v>2</v>
      </c>
      <c r="V76" s="37">
        <f>P76*E76</f>
        <v>4018.209712</v>
      </c>
      <c r="W76" s="139"/>
      <c r="X76" s="139"/>
      <c r="Y76" s="139"/>
      <c r="Z76" s="139"/>
      <c r="AA76" s="139"/>
      <c r="AB76" s="139"/>
      <c r="AC76" s="140"/>
      <c r="AD76" s="140"/>
    </row>
    <row r="77" s="119" customFormat="1" ht="72" customHeight="1" outlineLevel="2" spans="1:30">
      <c r="A77" s="162">
        <f>1+N(A76)</f>
        <v>2</v>
      </c>
      <c r="B77" s="14" t="s">
        <v>521</v>
      </c>
      <c r="C77" s="167" t="s">
        <v>522</v>
      </c>
      <c r="D77" s="142" t="s">
        <v>70</v>
      </c>
      <c r="E77" s="143">
        <v>15.982</v>
      </c>
      <c r="F77" s="143">
        <f>$F$26</f>
        <v>50</v>
      </c>
      <c r="G77" s="143">
        <f>$G$26</f>
        <v>0</v>
      </c>
      <c r="H77" s="143">
        <f>$H$26</f>
        <v>22.0941</v>
      </c>
      <c r="I77" s="17">
        <f>(F77+G77+H77)*$I$3</f>
        <v>7.20941</v>
      </c>
      <c r="J77" s="18">
        <f>ROUND(SUM(F77:I77),2)</f>
        <v>79.3</v>
      </c>
      <c r="K77" s="19">
        <f>ROUND(J77*E77,2)</f>
        <v>1267.37</v>
      </c>
      <c r="L77" s="135"/>
      <c r="M77" s="136"/>
      <c r="N77" s="136"/>
      <c r="O77" s="136"/>
      <c r="P77" s="37">
        <f>Q77+Q77*R77+S77+T77+U77</f>
        <v>72.0941</v>
      </c>
      <c r="Q77" s="99">
        <f>$Q$26</f>
        <v>0</v>
      </c>
      <c r="R77" s="163">
        <f>$R$26</f>
        <v>0.01</v>
      </c>
      <c r="S77" s="99">
        <f>$S$26</f>
        <v>50</v>
      </c>
      <c r="T77" s="99">
        <f>$T$26</f>
        <v>22.0941</v>
      </c>
      <c r="U77" s="99">
        <f>$U$26</f>
        <v>0</v>
      </c>
      <c r="V77" s="37">
        <f>P77*E77</f>
        <v>1152.2079062</v>
      </c>
      <c r="W77" s="139"/>
      <c r="X77" s="139"/>
      <c r="Y77" s="139"/>
      <c r="Z77" s="139"/>
      <c r="AA77" s="139"/>
      <c r="AB77" s="139"/>
      <c r="AC77" s="140"/>
      <c r="AD77" s="140"/>
    </row>
    <row r="78" s="119" customFormat="1" ht="72" customHeight="1" outlineLevel="2" spans="1:30">
      <c r="A78" s="162">
        <f>1+N(A77)</f>
        <v>3</v>
      </c>
      <c r="B78" s="14" t="s">
        <v>106</v>
      </c>
      <c r="C78" s="15" t="s">
        <v>107</v>
      </c>
      <c r="D78" s="142" t="s">
        <v>70</v>
      </c>
      <c r="E78" s="143">
        <v>15.982</v>
      </c>
      <c r="F78" s="143">
        <f>$F$27</f>
        <v>18</v>
      </c>
      <c r="G78" s="143">
        <f>$G$27</f>
        <v>163.255</v>
      </c>
      <c r="H78" s="143">
        <f>$H$27</f>
        <v>3.8</v>
      </c>
      <c r="I78" s="17">
        <f>(F78+G78+H78)*$I$3</f>
        <v>18.5055</v>
      </c>
      <c r="J78" s="18">
        <f>ROUND(SUM(F78:I78),2)</f>
        <v>203.56</v>
      </c>
      <c r="K78" s="19">
        <f>ROUND(J78*E78,2)</f>
        <v>3253.3</v>
      </c>
      <c r="L78" s="135"/>
      <c r="M78" s="136"/>
      <c r="N78" s="136"/>
      <c r="O78" s="136"/>
      <c r="P78" s="37">
        <f>Q78+Q78*R78+S78+T78+U78</f>
        <v>185.055</v>
      </c>
      <c r="Q78" s="99">
        <f>$Q$27</f>
        <v>158.5</v>
      </c>
      <c r="R78" s="163">
        <f>$R$27</f>
        <v>0.03</v>
      </c>
      <c r="S78" s="99">
        <f>$S$27</f>
        <v>18</v>
      </c>
      <c r="T78" s="99">
        <f>$T$27</f>
        <v>3.5</v>
      </c>
      <c r="U78" s="99">
        <f>$U$27</f>
        <v>0.3</v>
      </c>
      <c r="V78" s="37">
        <f>P78*E78</f>
        <v>2957.54901</v>
      </c>
      <c r="W78" s="139"/>
      <c r="X78" s="139"/>
      <c r="Y78" s="139"/>
      <c r="Z78" s="139"/>
      <c r="AA78" s="139"/>
      <c r="AB78" s="139"/>
      <c r="AC78" s="140"/>
      <c r="AD78" s="140"/>
    </row>
    <row r="79" s="119" customFormat="1" ht="72" customHeight="1" outlineLevel="2" spans="1:30">
      <c r="A79" s="162">
        <f>1+N(A78)</f>
        <v>4</v>
      </c>
      <c r="B79" s="14" t="s">
        <v>108</v>
      </c>
      <c r="C79" s="15" t="s">
        <v>109</v>
      </c>
      <c r="D79" s="142" t="s">
        <v>70</v>
      </c>
      <c r="E79" s="143">
        <f>5.12*2</f>
        <v>10.24</v>
      </c>
      <c r="F79" s="143">
        <f>$F$28</f>
        <v>30</v>
      </c>
      <c r="G79" s="143">
        <f>$G$28</f>
        <v>65.6625</v>
      </c>
      <c r="H79" s="143">
        <f>$H$28</f>
        <v>2.7</v>
      </c>
      <c r="I79" s="17">
        <f>(F79+G79+H79)*$I$3</f>
        <v>9.83625</v>
      </c>
      <c r="J79" s="18">
        <f>ROUND(SUM(F79:I79),2)</f>
        <v>108.2</v>
      </c>
      <c r="K79" s="19">
        <f>ROUND(J79*E79,2)</f>
        <v>1107.97</v>
      </c>
      <c r="L79" s="135"/>
      <c r="M79" s="136"/>
      <c r="N79" s="136"/>
      <c r="O79" s="136"/>
      <c r="P79" s="37">
        <f>Q79+Q79*R79+S79+T79+U79</f>
        <v>98.3625</v>
      </c>
      <c r="Q79" s="99">
        <f>$Q$28</f>
        <v>63.75</v>
      </c>
      <c r="R79" s="163">
        <f>$R$28</f>
        <v>0.03</v>
      </c>
      <c r="S79" s="99">
        <f>$S$28</f>
        <v>30</v>
      </c>
      <c r="T79" s="99">
        <f>$T$28</f>
        <v>2.5</v>
      </c>
      <c r="U79" s="99">
        <f>$U$28</f>
        <v>0.2</v>
      </c>
      <c r="V79" s="37">
        <f>P79*E79</f>
        <v>1007.232</v>
      </c>
      <c r="W79" s="139"/>
      <c r="X79" s="139"/>
      <c r="Y79" s="139"/>
      <c r="Z79" s="139"/>
      <c r="AA79" s="139"/>
      <c r="AB79" s="139"/>
      <c r="AC79" s="140"/>
      <c r="AD79" s="140"/>
    </row>
    <row r="80" s="119" customFormat="1" ht="72" customHeight="1" outlineLevel="2" spans="1:30">
      <c r="A80" s="162">
        <f>1+N(A79)</f>
        <v>5</v>
      </c>
      <c r="B80" s="14" t="s">
        <v>110</v>
      </c>
      <c r="C80" s="15" t="s">
        <v>111</v>
      </c>
      <c r="D80" s="142" t="s">
        <v>63</v>
      </c>
      <c r="E80" s="143">
        <v>35.688</v>
      </c>
      <c r="F80" s="143">
        <f>$F$29</f>
        <v>45</v>
      </c>
      <c r="G80" s="143">
        <f>$G$29</f>
        <v>85.5</v>
      </c>
      <c r="H80" s="143">
        <f>$H$29</f>
        <v>7.3</v>
      </c>
      <c r="I80" s="17">
        <f>(F80+G80+H80)*$I$3</f>
        <v>13.78</v>
      </c>
      <c r="J80" s="18">
        <f>ROUND(SUM(F80:I80),2)</f>
        <v>151.58</v>
      </c>
      <c r="K80" s="19">
        <f>ROUND(J80*E80,2)</f>
        <v>5409.59</v>
      </c>
      <c r="L80" s="135"/>
      <c r="M80" s="136"/>
      <c r="N80" s="136"/>
      <c r="O80" s="136"/>
      <c r="P80" s="37">
        <f>Q80+Q80*R80+S80+T80+U80</f>
        <v>137.8</v>
      </c>
      <c r="Q80" s="99">
        <f>$Q$29</f>
        <v>85.5</v>
      </c>
      <c r="R80" s="163">
        <f>$R$29</f>
        <v>0</v>
      </c>
      <c r="S80" s="99">
        <f>$S$29</f>
        <v>45</v>
      </c>
      <c r="T80" s="99">
        <f>$T$29</f>
        <v>6.5</v>
      </c>
      <c r="U80" s="99">
        <f>$U$29</f>
        <v>0.8</v>
      </c>
      <c r="V80" s="37">
        <f>P80*E80</f>
        <v>4917.8064</v>
      </c>
      <c r="W80" s="139"/>
      <c r="X80" s="139"/>
      <c r="Y80" s="139"/>
      <c r="Z80" s="139"/>
      <c r="AA80" s="139"/>
      <c r="AB80" s="139"/>
      <c r="AC80" s="140"/>
      <c r="AD80" s="140"/>
    </row>
    <row r="81" s="119" customFormat="1" ht="24" customHeight="1" outlineLevel="1" spans="1:30">
      <c r="A81" s="141"/>
      <c r="B81" s="14" t="s">
        <v>112</v>
      </c>
      <c r="C81" s="15"/>
      <c r="D81" s="142"/>
      <c r="E81" s="143"/>
      <c r="F81" s="143"/>
      <c r="G81" s="143"/>
      <c r="H81" s="143"/>
      <c r="I81" s="143"/>
      <c r="J81" s="143"/>
      <c r="K81" s="144"/>
      <c r="L81" s="135"/>
      <c r="M81" s="136"/>
      <c r="N81" s="136"/>
      <c r="O81" s="136"/>
      <c r="P81" s="137"/>
      <c r="Q81" s="137"/>
      <c r="R81" s="138"/>
      <c r="S81" s="137"/>
      <c r="T81" s="137"/>
      <c r="U81" s="137"/>
      <c r="V81" s="137"/>
      <c r="W81" s="139"/>
      <c r="X81" s="139"/>
      <c r="Y81" s="139"/>
      <c r="Z81" s="139"/>
      <c r="AA81" s="139"/>
      <c r="AB81" s="139"/>
      <c r="AC81" s="140"/>
      <c r="AD81" s="140"/>
    </row>
    <row r="82" s="119" customFormat="1" ht="24" customHeight="1" outlineLevel="1" spans="1:30">
      <c r="A82" s="132" t="s">
        <v>139</v>
      </c>
      <c r="B82" s="8" t="s">
        <v>525</v>
      </c>
      <c r="C82" s="8"/>
      <c r="D82" s="133"/>
      <c r="E82" s="134"/>
      <c r="F82" s="134"/>
      <c r="G82" s="134"/>
      <c r="H82" s="134"/>
      <c r="I82" s="134"/>
      <c r="J82" s="134"/>
      <c r="K82" s="11"/>
      <c r="L82" s="135"/>
      <c r="M82" s="136"/>
      <c r="N82" s="136"/>
      <c r="O82" s="136"/>
      <c r="P82" s="137"/>
      <c r="Q82" s="137"/>
      <c r="R82" s="138"/>
      <c r="S82" s="137"/>
      <c r="T82" s="137"/>
      <c r="U82" s="137"/>
      <c r="V82" s="137"/>
      <c r="W82" s="139"/>
      <c r="X82" s="139"/>
      <c r="Y82" s="139"/>
      <c r="Z82" s="139"/>
      <c r="AA82" s="139"/>
      <c r="AB82" s="139"/>
      <c r="AC82" s="140"/>
      <c r="AD82" s="140"/>
    </row>
    <row r="83" s="119" customFormat="1" ht="24" customHeight="1" outlineLevel="1" spans="1:30">
      <c r="A83" s="141"/>
      <c r="B83" s="14" t="s">
        <v>60</v>
      </c>
      <c r="C83" s="15"/>
      <c r="D83" s="142"/>
      <c r="E83" s="143"/>
      <c r="F83" s="143"/>
      <c r="G83" s="143"/>
      <c r="H83" s="143"/>
      <c r="I83" s="143"/>
      <c r="J83" s="143"/>
      <c r="K83" s="144"/>
      <c r="L83" s="135"/>
      <c r="M83" s="136"/>
      <c r="N83" s="136"/>
      <c r="O83" s="136"/>
      <c r="P83" s="137"/>
      <c r="Q83" s="137"/>
      <c r="R83" s="138"/>
      <c r="S83" s="137"/>
      <c r="T83" s="137"/>
      <c r="U83" s="137"/>
      <c r="V83" s="137"/>
      <c r="W83" s="139"/>
      <c r="X83" s="139"/>
      <c r="Y83" s="139"/>
      <c r="Z83" s="139"/>
      <c r="AA83" s="139"/>
      <c r="AB83" s="139"/>
      <c r="AC83" s="140"/>
      <c r="AD83" s="140"/>
    </row>
    <row r="84" s="119" customFormat="1" ht="96" customHeight="1" outlineLevel="2" spans="1:30">
      <c r="A84" s="162">
        <f>1+N(A83)</f>
        <v>1</v>
      </c>
      <c r="B84" s="14" t="s">
        <v>61</v>
      </c>
      <c r="C84" s="15" t="s">
        <v>62</v>
      </c>
      <c r="D84" s="142" t="s">
        <v>63</v>
      </c>
      <c r="E84" s="143">
        <v>3.966</v>
      </c>
      <c r="F84" s="143">
        <f>$F$7</f>
        <v>130</v>
      </c>
      <c r="G84" s="143">
        <f>$G$7</f>
        <v>628.3</v>
      </c>
      <c r="H84" s="17">
        <f>$H$7</f>
        <v>47.7</v>
      </c>
      <c r="I84" s="17">
        <f>(F84+G84+H84)*$I$3</f>
        <v>80.6</v>
      </c>
      <c r="J84" s="18">
        <f>ROUND(SUM(F84:I84),2)</f>
        <v>886.6</v>
      </c>
      <c r="K84" s="19">
        <f>ROUND(J84*E84,2)</f>
        <v>3516.26</v>
      </c>
      <c r="L84" s="135"/>
      <c r="M84" s="136"/>
      <c r="N84" s="136"/>
      <c r="O84" s="136"/>
      <c r="P84" s="137">
        <f>Q84+Q84*R84+S84+T84+U84</f>
        <v>806</v>
      </c>
      <c r="Q84" s="99">
        <f>$Q$7</f>
        <v>610</v>
      </c>
      <c r="R84" s="163">
        <f>$R$7</f>
        <v>0.03</v>
      </c>
      <c r="S84" s="99">
        <f>$S$7</f>
        <v>130</v>
      </c>
      <c r="T84" s="99">
        <f>$T$7</f>
        <v>46.2</v>
      </c>
      <c r="U84" s="99">
        <f>$U$7</f>
        <v>1.5</v>
      </c>
      <c r="V84" s="37">
        <f>P84*E84</f>
        <v>3196.596</v>
      </c>
      <c r="W84" s="139"/>
      <c r="X84" s="139"/>
      <c r="Y84" s="139"/>
      <c r="Z84" s="139"/>
      <c r="AA84" s="139"/>
      <c r="AB84" s="139"/>
      <c r="AC84" s="140"/>
      <c r="AD84" s="140"/>
    </row>
    <row r="85" s="119" customFormat="1" ht="108" customHeight="1" outlineLevel="2" spans="1:30">
      <c r="A85" s="162">
        <f>1+N(A84)</f>
        <v>2</v>
      </c>
      <c r="B85" s="14" t="s">
        <v>64</v>
      </c>
      <c r="C85" s="15" t="s">
        <v>65</v>
      </c>
      <c r="D85" s="142" t="s">
        <v>63</v>
      </c>
      <c r="E85" s="143">
        <v>13.025</v>
      </c>
      <c r="F85" s="143">
        <f>$F$8</f>
        <v>130</v>
      </c>
      <c r="G85" s="143">
        <f>$G$8</f>
        <v>854.9</v>
      </c>
      <c r="H85" s="143">
        <f>$H$8</f>
        <v>47.7</v>
      </c>
      <c r="I85" s="17">
        <f>(F85+G85+H85)*$I$3</f>
        <v>103.26</v>
      </c>
      <c r="J85" s="18">
        <f>ROUND(SUM(F85:I85),2)</f>
        <v>1135.86</v>
      </c>
      <c r="K85" s="19">
        <f>ROUND(J85*E85,2)</f>
        <v>14794.58</v>
      </c>
      <c r="L85" s="135"/>
      <c r="M85" s="136"/>
      <c r="N85" s="136"/>
      <c r="O85" s="136"/>
      <c r="P85" s="137">
        <f>Q85+Q85*R85+S85+T85+U85</f>
        <v>1032.6</v>
      </c>
      <c r="Q85" s="99">
        <f>$Q$8</f>
        <v>830</v>
      </c>
      <c r="R85" s="163">
        <f>$R$8</f>
        <v>0.03</v>
      </c>
      <c r="S85" s="99">
        <f>$S$8</f>
        <v>130</v>
      </c>
      <c r="T85" s="99">
        <f>$T$8</f>
        <v>46.2</v>
      </c>
      <c r="U85" s="99">
        <f>$U$8</f>
        <v>1.5</v>
      </c>
      <c r="V85" s="37">
        <f>P85*E85</f>
        <v>13449.615</v>
      </c>
      <c r="W85" s="139"/>
      <c r="X85" s="139"/>
      <c r="Y85" s="139"/>
      <c r="Z85" s="139"/>
      <c r="AA85" s="139"/>
      <c r="AB85" s="139"/>
      <c r="AC85" s="140"/>
      <c r="AD85" s="140"/>
    </row>
    <row r="86" s="119" customFormat="1" ht="36" customHeight="1" outlineLevel="2" spans="1:30">
      <c r="A86" s="162">
        <f>1+N(A85)</f>
        <v>3</v>
      </c>
      <c r="B86" s="14" t="s">
        <v>68</v>
      </c>
      <c r="C86" s="15" t="s">
        <v>69</v>
      </c>
      <c r="D86" s="142" t="s">
        <v>70</v>
      </c>
      <c r="E86" s="143">
        <v>14.566</v>
      </c>
      <c r="F86" s="143">
        <f>$F$9</f>
        <v>12</v>
      </c>
      <c r="G86" s="143">
        <f>$G$9</f>
        <v>19.57</v>
      </c>
      <c r="H86" s="143">
        <f>$H$9</f>
        <v>0.5</v>
      </c>
      <c r="I86" s="17">
        <f>(F86+G86+H86)*$I$3</f>
        <v>3.207</v>
      </c>
      <c r="J86" s="18">
        <f>ROUND(SUM(F86:I86),2)</f>
        <v>35.28</v>
      </c>
      <c r="K86" s="19">
        <f>ROUND(J86*E86,2)</f>
        <v>513.89</v>
      </c>
      <c r="L86" s="135"/>
      <c r="M86" s="136"/>
      <c r="N86" s="136"/>
      <c r="O86" s="136"/>
      <c r="P86" s="37">
        <f>Q86+Q86*R86+S86+T86+U86</f>
        <v>32.07</v>
      </c>
      <c r="Q86" s="99">
        <f>$Q$9</f>
        <v>19</v>
      </c>
      <c r="R86" s="163">
        <f>$R$9</f>
        <v>0.03</v>
      </c>
      <c r="S86" s="99">
        <f>$S$9</f>
        <v>12</v>
      </c>
      <c r="T86" s="99">
        <f>$T$9</f>
        <v>0.3</v>
      </c>
      <c r="U86" s="99">
        <f>$U$9</f>
        <v>0.2</v>
      </c>
      <c r="V86" s="37">
        <f>P86*E86</f>
        <v>467.13162</v>
      </c>
      <c r="W86" s="139"/>
      <c r="X86" s="139"/>
      <c r="Y86" s="139"/>
      <c r="Z86" s="139"/>
      <c r="AA86" s="139"/>
      <c r="AB86" s="139"/>
      <c r="AC86" s="140"/>
      <c r="AD86" s="140"/>
    </row>
    <row r="87" s="119" customFormat="1" ht="48" customHeight="1" outlineLevel="2" spans="1:30">
      <c r="A87" s="162">
        <f>1+N(A86)</f>
        <v>4</v>
      </c>
      <c r="B87" s="14" t="s">
        <v>71</v>
      </c>
      <c r="C87" s="15" t="s">
        <v>72</v>
      </c>
      <c r="D87" s="142" t="s">
        <v>63</v>
      </c>
      <c r="E87" s="143">
        <f>+E84+E85</f>
        <v>16.991</v>
      </c>
      <c r="F87" s="143">
        <f>$F$10</f>
        <v>40</v>
      </c>
      <c r="G87" s="143">
        <f>$G$10</f>
        <v>15</v>
      </c>
      <c r="H87" s="143">
        <f>$H$10</f>
        <v>0.8</v>
      </c>
      <c r="I87" s="17">
        <f>(F87+G87+H87)*$I$3</f>
        <v>5.58</v>
      </c>
      <c r="J87" s="18">
        <f>ROUND(SUM(F87:I87),2)</f>
        <v>61.38</v>
      </c>
      <c r="K87" s="19">
        <f>ROUND(J87*E87,2)</f>
        <v>1042.91</v>
      </c>
      <c r="L87" s="135"/>
      <c r="M87" s="136"/>
      <c r="N87" s="136"/>
      <c r="O87" s="136"/>
      <c r="P87" s="37">
        <f>Q87+Q87*R87+S87+T87+U87</f>
        <v>55.8</v>
      </c>
      <c r="Q87" s="99">
        <f>$Q$10</f>
        <v>15</v>
      </c>
      <c r="R87" s="163">
        <f>$R$10</f>
        <v>0</v>
      </c>
      <c r="S87" s="99">
        <f>$S$10</f>
        <v>40</v>
      </c>
      <c r="T87" s="99">
        <f>$T$10</f>
        <v>0.5</v>
      </c>
      <c r="U87" s="99">
        <f>$U$10</f>
        <v>0.3</v>
      </c>
      <c r="V87" s="37">
        <f>P87*E87</f>
        <v>948.0978</v>
      </c>
      <c r="W87" s="139"/>
      <c r="X87" s="139"/>
      <c r="Y87" s="139"/>
      <c r="Z87" s="139"/>
      <c r="AA87" s="139"/>
      <c r="AB87" s="139"/>
      <c r="AC87" s="140"/>
      <c r="AD87" s="140"/>
    </row>
    <row r="88" s="119" customFormat="1" ht="24" customHeight="1" outlineLevel="1" spans="1:30">
      <c r="A88" s="141"/>
      <c r="B88" s="14" t="s">
        <v>494</v>
      </c>
      <c r="C88" s="15"/>
      <c r="D88" s="142"/>
      <c r="E88" s="143"/>
      <c r="F88" s="143"/>
      <c r="G88" s="143"/>
      <c r="H88" s="143"/>
      <c r="I88" s="143"/>
      <c r="J88" s="143"/>
      <c r="K88" s="144"/>
      <c r="L88" s="135"/>
      <c r="M88" s="136"/>
      <c r="N88" s="136"/>
      <c r="O88" s="136"/>
      <c r="P88" s="137"/>
      <c r="Q88" s="137"/>
      <c r="R88" s="138"/>
      <c r="S88" s="137"/>
      <c r="T88" s="137"/>
      <c r="U88" s="137"/>
      <c r="V88" s="137"/>
      <c r="W88" s="139"/>
      <c r="X88" s="139"/>
      <c r="Y88" s="139"/>
      <c r="Z88" s="139"/>
      <c r="AA88" s="139"/>
      <c r="AB88" s="139"/>
      <c r="AC88" s="140"/>
      <c r="AD88" s="140"/>
    </row>
    <row r="89" s="119" customFormat="1" ht="72" customHeight="1" outlineLevel="2" spans="1:30">
      <c r="A89" s="162">
        <f t="shared" ref="A89:A97" si="21">1+N(A88)</f>
        <v>1</v>
      </c>
      <c r="B89" s="164" t="s">
        <v>74</v>
      </c>
      <c r="C89" s="15" t="s">
        <v>75</v>
      </c>
      <c r="D89" s="142" t="s">
        <v>63</v>
      </c>
      <c r="E89" s="143">
        <v>5.319</v>
      </c>
      <c r="F89" s="143">
        <f>$F$12</f>
        <v>95</v>
      </c>
      <c r="G89" s="143">
        <f>$G$12</f>
        <v>813.75</v>
      </c>
      <c r="H89" s="143">
        <f>$H$12</f>
        <v>18.3</v>
      </c>
      <c r="I89" s="17">
        <f t="shared" ref="I89:I97" si="22">(F89+G89+H89)*$I$3</f>
        <v>92.705</v>
      </c>
      <c r="J89" s="18">
        <f t="shared" ref="J89:J97" si="23">ROUND(SUM(F89:I89),2)</f>
        <v>1019.76</v>
      </c>
      <c r="K89" s="19">
        <f t="shared" ref="K89:K97" si="24">ROUND(J89*E89,2)</f>
        <v>5424.1</v>
      </c>
      <c r="L89" s="135"/>
      <c r="M89" s="136"/>
      <c r="N89" s="136"/>
      <c r="O89" s="136"/>
      <c r="P89" s="37">
        <f t="shared" ref="P89:P97" si="25">Q89+Q89*R89+S89+T89+U89</f>
        <v>927.05</v>
      </c>
      <c r="Q89" s="99">
        <f>$Q$12</f>
        <v>775</v>
      </c>
      <c r="R89" s="163">
        <f>$R$12</f>
        <v>0.05</v>
      </c>
      <c r="S89" s="99">
        <f>$S$12</f>
        <v>95</v>
      </c>
      <c r="T89" s="99">
        <f>$T$12</f>
        <v>16.8</v>
      </c>
      <c r="U89" s="99">
        <f>$U$12</f>
        <v>1.5</v>
      </c>
      <c r="V89" s="37">
        <f t="shared" ref="V89:V97" si="26">P89*E89</f>
        <v>4930.97895</v>
      </c>
      <c r="W89" s="139"/>
      <c r="X89" s="139"/>
      <c r="Y89" s="139"/>
      <c r="Z89" s="139"/>
      <c r="AA89" s="139"/>
      <c r="AB89" s="139"/>
      <c r="AC89" s="140"/>
      <c r="AD89" s="140"/>
    </row>
    <row r="90" s="119" customFormat="1" ht="96" customHeight="1" outlineLevel="2" spans="1:30">
      <c r="A90" s="162">
        <f t="shared" si="21"/>
        <v>2</v>
      </c>
      <c r="B90" s="165" t="s">
        <v>76</v>
      </c>
      <c r="C90" s="166" t="s">
        <v>77</v>
      </c>
      <c r="D90" s="142" t="s">
        <v>63</v>
      </c>
      <c r="E90" s="143">
        <v>25.262</v>
      </c>
      <c r="F90" s="143">
        <f>$F$13</f>
        <v>145</v>
      </c>
      <c r="G90" s="143">
        <f>$G$13</f>
        <v>651</v>
      </c>
      <c r="H90" s="143">
        <f>$H$13</f>
        <v>113.55</v>
      </c>
      <c r="I90" s="17">
        <f t="shared" si="22"/>
        <v>90.955</v>
      </c>
      <c r="J90" s="18">
        <f t="shared" si="23"/>
        <v>1000.51</v>
      </c>
      <c r="K90" s="19">
        <f t="shared" si="24"/>
        <v>25274.88</v>
      </c>
      <c r="L90" s="135"/>
      <c r="M90" s="136"/>
      <c r="N90" s="136"/>
      <c r="O90" s="136"/>
      <c r="P90" s="37">
        <f t="shared" si="25"/>
        <v>909.55</v>
      </c>
      <c r="Q90" s="99">
        <f>$Q$13</f>
        <v>620</v>
      </c>
      <c r="R90" s="163">
        <f>$R$13</f>
        <v>0.05</v>
      </c>
      <c r="S90" s="99">
        <f>$S$13</f>
        <v>145</v>
      </c>
      <c r="T90" s="99">
        <f>$T$13</f>
        <v>111.75</v>
      </c>
      <c r="U90" s="99">
        <f>$U$13</f>
        <v>1.8</v>
      </c>
      <c r="V90" s="37">
        <f t="shared" si="26"/>
        <v>22977.0521</v>
      </c>
      <c r="W90" s="139"/>
      <c r="X90" s="139"/>
      <c r="Y90" s="139"/>
      <c r="Z90" s="139"/>
      <c r="AA90" s="139"/>
      <c r="AB90" s="139"/>
      <c r="AC90" s="140"/>
      <c r="AD90" s="140"/>
    </row>
    <row r="91" s="119" customFormat="1" ht="60" customHeight="1" outlineLevel="2" spans="1:30">
      <c r="A91" s="162">
        <f t="shared" si="21"/>
        <v>3</v>
      </c>
      <c r="B91" s="14" t="s">
        <v>226</v>
      </c>
      <c r="C91" s="15" t="s">
        <v>225</v>
      </c>
      <c r="D91" s="142" t="s">
        <v>63</v>
      </c>
      <c r="E91" s="143">
        <v>2.091</v>
      </c>
      <c r="F91" s="143">
        <f>$F$14</f>
        <v>35</v>
      </c>
      <c r="G91" s="143">
        <f>$G$14</f>
        <v>346.08</v>
      </c>
      <c r="H91" s="143">
        <f>$H$14</f>
        <v>54.7</v>
      </c>
      <c r="I91" s="17">
        <f t="shared" si="22"/>
        <v>43.578</v>
      </c>
      <c r="J91" s="18">
        <f t="shared" si="23"/>
        <v>479.36</v>
      </c>
      <c r="K91" s="19">
        <f t="shared" si="24"/>
        <v>1002.34</v>
      </c>
      <c r="L91" s="135"/>
      <c r="M91" s="136"/>
      <c r="N91" s="136"/>
      <c r="O91" s="136"/>
      <c r="P91" s="37">
        <f t="shared" si="25"/>
        <v>435.78</v>
      </c>
      <c r="Q91" s="99">
        <f>$Q$14</f>
        <v>336</v>
      </c>
      <c r="R91" s="163">
        <f>$R$14</f>
        <v>0.03</v>
      </c>
      <c r="S91" s="99">
        <f>$S$14</f>
        <v>35</v>
      </c>
      <c r="T91" s="99">
        <f>$T$14</f>
        <v>53.5</v>
      </c>
      <c r="U91" s="99">
        <f>$U$14</f>
        <v>1.2</v>
      </c>
      <c r="V91" s="37">
        <f t="shared" si="26"/>
        <v>911.21598</v>
      </c>
      <c r="W91" s="139"/>
      <c r="X91" s="139"/>
      <c r="Y91" s="139"/>
      <c r="Z91" s="139"/>
      <c r="AA91" s="139"/>
      <c r="AB91" s="139"/>
      <c r="AC91" s="140"/>
      <c r="AD91" s="140"/>
    </row>
    <row r="92" s="119" customFormat="1" ht="48" customHeight="1" outlineLevel="2" spans="1:30">
      <c r="A92" s="162">
        <f t="shared" si="21"/>
        <v>4</v>
      </c>
      <c r="B92" s="165" t="s">
        <v>84</v>
      </c>
      <c r="C92" s="166" t="s">
        <v>83</v>
      </c>
      <c r="D92" s="165" t="s">
        <v>63</v>
      </c>
      <c r="E92" s="143">
        <f>0.34*2.75*2*2</f>
        <v>3.74</v>
      </c>
      <c r="F92" s="143">
        <f>$F$17</f>
        <v>110</v>
      </c>
      <c r="G92" s="143">
        <f>$G$17</f>
        <v>454.5</v>
      </c>
      <c r="H92" s="143">
        <f>$H$17</f>
        <v>55.2</v>
      </c>
      <c r="I92" s="17">
        <f t="shared" si="22"/>
        <v>61.97</v>
      </c>
      <c r="J92" s="18">
        <f t="shared" si="23"/>
        <v>681.67</v>
      </c>
      <c r="K92" s="19">
        <f t="shared" si="24"/>
        <v>2549.45</v>
      </c>
      <c r="L92" s="135"/>
      <c r="M92" s="136"/>
      <c r="N92" s="136"/>
      <c r="O92" s="136"/>
      <c r="P92" s="37">
        <f t="shared" si="25"/>
        <v>619.7</v>
      </c>
      <c r="Q92" s="99">
        <f>$Q$17</f>
        <v>450</v>
      </c>
      <c r="R92" s="163">
        <f>$R$17</f>
        <v>0.01</v>
      </c>
      <c r="S92" s="99">
        <f>$S$17</f>
        <v>110</v>
      </c>
      <c r="T92" s="99">
        <f>$T$17</f>
        <v>54</v>
      </c>
      <c r="U92" s="99">
        <f>$U$17</f>
        <v>1.2</v>
      </c>
      <c r="V92" s="37">
        <f t="shared" si="26"/>
        <v>2317.678</v>
      </c>
      <c r="W92" s="139"/>
      <c r="X92" s="139"/>
      <c r="Y92" s="139"/>
      <c r="Z92" s="139"/>
      <c r="AA92" s="139"/>
      <c r="AB92" s="139"/>
      <c r="AC92" s="140"/>
      <c r="AD92" s="140"/>
    </row>
    <row r="93" s="119" customFormat="1" ht="60" customHeight="1" outlineLevel="2" spans="1:30">
      <c r="A93" s="162">
        <f t="shared" si="21"/>
        <v>5</v>
      </c>
      <c r="B93" s="165" t="s">
        <v>85</v>
      </c>
      <c r="C93" s="166" t="s">
        <v>86</v>
      </c>
      <c r="D93" s="165" t="s">
        <v>63</v>
      </c>
      <c r="E93" s="143">
        <f>+(0.061+0.475+0.114+0.074)*0.95*2</f>
        <v>1.3756</v>
      </c>
      <c r="F93" s="143">
        <f>$F$18</f>
        <v>110</v>
      </c>
      <c r="G93" s="143">
        <f>$G$18</f>
        <v>454.5</v>
      </c>
      <c r="H93" s="143">
        <f>$H$18</f>
        <v>55.2</v>
      </c>
      <c r="I93" s="17">
        <f t="shared" si="22"/>
        <v>61.97</v>
      </c>
      <c r="J93" s="18">
        <f t="shared" si="23"/>
        <v>681.67</v>
      </c>
      <c r="K93" s="19">
        <f t="shared" si="24"/>
        <v>937.71</v>
      </c>
      <c r="L93" s="135"/>
      <c r="M93" s="136"/>
      <c r="N93" s="136"/>
      <c r="O93" s="136"/>
      <c r="P93" s="37">
        <f t="shared" si="25"/>
        <v>619.7</v>
      </c>
      <c r="Q93" s="99">
        <f>$Q$18</f>
        <v>450</v>
      </c>
      <c r="R93" s="163">
        <f>$R$18</f>
        <v>0.01</v>
      </c>
      <c r="S93" s="99">
        <f>$S$18</f>
        <v>110</v>
      </c>
      <c r="T93" s="99">
        <f>$T$18</f>
        <v>54</v>
      </c>
      <c r="U93" s="99">
        <f>$U$18</f>
        <v>1.2</v>
      </c>
      <c r="V93" s="37">
        <f t="shared" si="26"/>
        <v>852.45932</v>
      </c>
      <c r="W93" s="139"/>
      <c r="X93" s="139"/>
      <c r="Y93" s="139"/>
      <c r="Z93" s="139"/>
      <c r="AA93" s="139"/>
      <c r="AB93" s="139"/>
      <c r="AC93" s="140"/>
      <c r="AD93" s="140"/>
    </row>
    <row r="94" s="119" customFormat="1" ht="48" customHeight="1" outlineLevel="2" spans="1:30">
      <c r="A94" s="162">
        <f t="shared" si="21"/>
        <v>6</v>
      </c>
      <c r="B94" s="165" t="s">
        <v>87</v>
      </c>
      <c r="C94" s="166" t="s">
        <v>88</v>
      </c>
      <c r="D94" s="165" t="s">
        <v>63</v>
      </c>
      <c r="E94" s="143">
        <v>0.253</v>
      </c>
      <c r="F94" s="143">
        <f>$F$19</f>
        <v>110</v>
      </c>
      <c r="G94" s="143">
        <f>$G$19</f>
        <v>454.5</v>
      </c>
      <c r="H94" s="143">
        <f>$H$19</f>
        <v>55.2</v>
      </c>
      <c r="I94" s="17">
        <f t="shared" si="22"/>
        <v>61.97</v>
      </c>
      <c r="J94" s="18">
        <f t="shared" si="23"/>
        <v>681.67</v>
      </c>
      <c r="K94" s="19">
        <f t="shared" si="24"/>
        <v>172.46</v>
      </c>
      <c r="L94" s="135"/>
      <c r="M94" s="136"/>
      <c r="N94" s="136"/>
      <c r="O94" s="136"/>
      <c r="P94" s="37">
        <f t="shared" si="25"/>
        <v>619.7</v>
      </c>
      <c r="Q94" s="99">
        <f>$Q$19</f>
        <v>450</v>
      </c>
      <c r="R94" s="163">
        <f>$R$19</f>
        <v>0.01</v>
      </c>
      <c r="S94" s="99">
        <f>$S$19</f>
        <v>110</v>
      </c>
      <c r="T94" s="99">
        <f>$T$19</f>
        <v>54</v>
      </c>
      <c r="U94" s="99">
        <f>$U$19</f>
        <v>1.2</v>
      </c>
      <c r="V94" s="37">
        <f t="shared" si="26"/>
        <v>156.7841</v>
      </c>
      <c r="W94" s="139"/>
      <c r="X94" s="139"/>
      <c r="Y94" s="139"/>
      <c r="Z94" s="139"/>
      <c r="AA94" s="139"/>
      <c r="AB94" s="139"/>
      <c r="AC94" s="140"/>
      <c r="AD94" s="140"/>
    </row>
    <row r="95" s="119" customFormat="1" ht="48" customHeight="1" outlineLevel="2" spans="1:30">
      <c r="A95" s="162">
        <f t="shared" si="21"/>
        <v>7</v>
      </c>
      <c r="B95" s="165" t="s">
        <v>91</v>
      </c>
      <c r="C95" s="166" t="s">
        <v>92</v>
      </c>
      <c r="D95" s="165" t="s">
        <v>70</v>
      </c>
      <c r="E95" s="143">
        <v>11.965</v>
      </c>
      <c r="F95" s="143">
        <f>$F$20</f>
        <v>12</v>
      </c>
      <c r="G95" s="143">
        <f>$G$20</f>
        <v>25.75</v>
      </c>
      <c r="H95" s="143">
        <f>$H$20</f>
        <v>3.8</v>
      </c>
      <c r="I95" s="17">
        <f t="shared" si="22"/>
        <v>4.155</v>
      </c>
      <c r="J95" s="18">
        <f t="shared" si="23"/>
        <v>45.71</v>
      </c>
      <c r="K95" s="19">
        <f t="shared" si="24"/>
        <v>546.92</v>
      </c>
      <c r="L95" s="135"/>
      <c r="M95" s="136"/>
      <c r="N95" s="136"/>
      <c r="O95" s="136"/>
      <c r="P95" s="37">
        <f t="shared" si="25"/>
        <v>41.55</v>
      </c>
      <c r="Q95" s="99">
        <f>$Q$20</f>
        <v>25</v>
      </c>
      <c r="R95" s="163">
        <f>$R$20</f>
        <v>0.03</v>
      </c>
      <c r="S95" s="99">
        <f>$S$20</f>
        <v>12</v>
      </c>
      <c r="T95" s="99">
        <f>$T$20</f>
        <v>3.5</v>
      </c>
      <c r="U95" s="99">
        <f>$U$20</f>
        <v>0.3</v>
      </c>
      <c r="V95" s="37">
        <f t="shared" si="26"/>
        <v>497.14575</v>
      </c>
      <c r="W95" s="139"/>
      <c r="X95" s="139"/>
      <c r="Y95" s="139"/>
      <c r="Z95" s="139"/>
      <c r="AA95" s="139"/>
      <c r="AB95" s="139"/>
      <c r="AC95" s="140"/>
      <c r="AD95" s="140"/>
    </row>
    <row r="96" s="119" customFormat="1" ht="48" customHeight="1" outlineLevel="2" spans="1:30">
      <c r="A96" s="162">
        <f t="shared" si="21"/>
        <v>8</v>
      </c>
      <c r="B96" s="165" t="s">
        <v>97</v>
      </c>
      <c r="C96" s="166" t="s">
        <v>98</v>
      </c>
      <c r="D96" s="165" t="s">
        <v>70</v>
      </c>
      <c r="E96" s="143">
        <v>9.414</v>
      </c>
      <c r="F96" s="143">
        <f>$F$22</f>
        <v>22</v>
      </c>
      <c r="G96" s="143">
        <f>$G$22</f>
        <v>58.195</v>
      </c>
      <c r="H96" s="143">
        <f>$H$22</f>
        <v>6.3</v>
      </c>
      <c r="I96" s="17">
        <f t="shared" si="22"/>
        <v>8.6495</v>
      </c>
      <c r="J96" s="18">
        <f t="shared" si="23"/>
        <v>95.14</v>
      </c>
      <c r="K96" s="19">
        <f t="shared" si="24"/>
        <v>895.65</v>
      </c>
      <c r="L96" s="135"/>
      <c r="M96" s="136"/>
      <c r="N96" s="136"/>
      <c r="O96" s="136"/>
      <c r="P96" s="37">
        <f t="shared" si="25"/>
        <v>86.495</v>
      </c>
      <c r="Q96" s="99">
        <f>$Q$22</f>
        <v>56.5</v>
      </c>
      <c r="R96" s="163">
        <f>$R$22</f>
        <v>0.03</v>
      </c>
      <c r="S96" s="99">
        <f>$S$22</f>
        <v>22</v>
      </c>
      <c r="T96" s="99">
        <f>$T$22</f>
        <v>6</v>
      </c>
      <c r="U96" s="99">
        <f>$U$22</f>
        <v>0.3</v>
      </c>
      <c r="V96" s="37">
        <f t="shared" si="26"/>
        <v>814.26393</v>
      </c>
      <c r="W96" s="139"/>
      <c r="X96" s="139"/>
      <c r="Y96" s="139"/>
      <c r="Z96" s="139"/>
      <c r="AA96" s="139"/>
      <c r="AB96" s="139"/>
      <c r="AC96" s="140"/>
      <c r="AD96" s="140"/>
    </row>
    <row r="97" s="119" customFormat="1" ht="48" customHeight="1" outlineLevel="2" spans="1:30">
      <c r="A97" s="162">
        <f t="shared" si="21"/>
        <v>9</v>
      </c>
      <c r="B97" s="165" t="s">
        <v>99</v>
      </c>
      <c r="C97" s="166" t="s">
        <v>100</v>
      </c>
      <c r="D97" s="165" t="s">
        <v>70</v>
      </c>
      <c r="E97" s="143">
        <v>12.798</v>
      </c>
      <c r="F97" s="143">
        <f>$F$23</f>
        <v>12</v>
      </c>
      <c r="G97" s="143">
        <f>$G$23</f>
        <v>23.4325</v>
      </c>
      <c r="H97" s="143">
        <f>$H$23</f>
        <v>3.8</v>
      </c>
      <c r="I97" s="17">
        <f t="shared" si="22"/>
        <v>3.92325</v>
      </c>
      <c r="J97" s="18">
        <f t="shared" si="23"/>
        <v>43.16</v>
      </c>
      <c r="K97" s="19">
        <f t="shared" si="24"/>
        <v>552.36</v>
      </c>
      <c r="L97" s="135"/>
      <c r="M97" s="136"/>
      <c r="N97" s="136"/>
      <c r="O97" s="136"/>
      <c r="P97" s="37">
        <f t="shared" si="25"/>
        <v>39.2325</v>
      </c>
      <c r="Q97" s="99">
        <f>$Q$23</f>
        <v>22.75</v>
      </c>
      <c r="R97" s="163">
        <f>$R$23</f>
        <v>0.03</v>
      </c>
      <c r="S97" s="99">
        <f>$S$23</f>
        <v>12</v>
      </c>
      <c r="T97" s="99">
        <f>$T$23</f>
        <v>3.5</v>
      </c>
      <c r="U97" s="99">
        <f>$U$23</f>
        <v>0.3</v>
      </c>
      <c r="V97" s="37">
        <f t="shared" si="26"/>
        <v>502.097535</v>
      </c>
      <c r="W97" s="139"/>
      <c r="X97" s="139"/>
      <c r="Y97" s="139"/>
      <c r="Z97" s="139"/>
      <c r="AA97" s="139"/>
      <c r="AB97" s="139"/>
      <c r="AC97" s="140"/>
      <c r="AD97" s="140"/>
    </row>
    <row r="98" s="119" customFormat="1" ht="24" customHeight="1" outlineLevel="1" spans="1:30">
      <c r="A98" s="141"/>
      <c r="B98" s="14" t="s">
        <v>101</v>
      </c>
      <c r="C98" s="15"/>
      <c r="D98" s="142"/>
      <c r="E98" s="143"/>
      <c r="F98" s="143"/>
      <c r="G98" s="143"/>
      <c r="H98" s="143"/>
      <c r="I98" s="143"/>
      <c r="J98" s="143"/>
      <c r="K98" s="144"/>
      <c r="L98" s="135"/>
      <c r="M98" s="136"/>
      <c r="N98" s="136"/>
      <c r="O98" s="136"/>
      <c r="P98" s="137"/>
      <c r="Q98" s="137"/>
      <c r="R98" s="138"/>
      <c r="S98" s="137"/>
      <c r="T98" s="137"/>
      <c r="U98" s="137"/>
      <c r="V98" s="137"/>
      <c r="W98" s="139"/>
      <c r="X98" s="139"/>
      <c r="Y98" s="139"/>
      <c r="Z98" s="139"/>
      <c r="AA98" s="139"/>
      <c r="AB98" s="139"/>
      <c r="AC98" s="140"/>
      <c r="AD98" s="140"/>
    </row>
    <row r="99" s="119" customFormat="1" ht="96" customHeight="1" outlineLevel="2" spans="1:30">
      <c r="A99" s="162">
        <f>1+N(A98)</f>
        <v>1</v>
      </c>
      <c r="B99" s="14" t="s">
        <v>460</v>
      </c>
      <c r="C99" s="167" t="s">
        <v>103</v>
      </c>
      <c r="D99" s="142" t="s">
        <v>63</v>
      </c>
      <c r="E99" s="143">
        <v>17.814</v>
      </c>
      <c r="F99" s="143">
        <f>$F$25</f>
        <v>70</v>
      </c>
      <c r="G99" s="143">
        <f>$G$25</f>
        <v>0</v>
      </c>
      <c r="H99" s="143">
        <f>$H$25</f>
        <v>66.711</v>
      </c>
      <c r="I99" s="17">
        <f>(F99+G99+H99)*$I$3</f>
        <v>13.6711</v>
      </c>
      <c r="J99" s="18">
        <f>ROUND(SUM(F99:I99),2)</f>
        <v>150.38</v>
      </c>
      <c r="K99" s="19">
        <f>ROUND(J99*E99,2)</f>
        <v>2678.87</v>
      </c>
      <c r="L99" s="135"/>
      <c r="M99" s="136"/>
      <c r="N99" s="136"/>
      <c r="O99" s="136"/>
      <c r="P99" s="37">
        <f>Q99+Q99*R99+S99+T99+U99</f>
        <v>136.711</v>
      </c>
      <c r="Q99" s="99">
        <f>$Q$25</f>
        <v>0</v>
      </c>
      <c r="R99" s="163">
        <f>$R$25</f>
        <v>0.01</v>
      </c>
      <c r="S99" s="99">
        <f>$S$25</f>
        <v>70</v>
      </c>
      <c r="T99" s="99">
        <f>$T$25</f>
        <v>64.711</v>
      </c>
      <c r="U99" s="99">
        <f>$U$25</f>
        <v>2</v>
      </c>
      <c r="V99" s="37">
        <f>P99*E99</f>
        <v>2435.369754</v>
      </c>
      <c r="W99" s="139"/>
      <c r="X99" s="139"/>
      <c r="Y99" s="139"/>
      <c r="Z99" s="139"/>
      <c r="AA99" s="139"/>
      <c r="AB99" s="139"/>
      <c r="AC99" s="140"/>
      <c r="AD99" s="140"/>
    </row>
    <row r="100" s="119" customFormat="1" ht="72" customHeight="1" outlineLevel="2" spans="1:30">
      <c r="A100" s="162">
        <f>1+N(A99)</f>
        <v>2</v>
      </c>
      <c r="B100" s="14" t="s">
        <v>521</v>
      </c>
      <c r="C100" s="167" t="s">
        <v>522</v>
      </c>
      <c r="D100" s="142" t="s">
        <v>70</v>
      </c>
      <c r="E100" s="143">
        <v>14.582</v>
      </c>
      <c r="F100" s="143">
        <f>$F$26</f>
        <v>50</v>
      </c>
      <c r="G100" s="143">
        <f>$G$26</f>
        <v>0</v>
      </c>
      <c r="H100" s="143">
        <f>$H$26</f>
        <v>22.0941</v>
      </c>
      <c r="I100" s="17">
        <f>(F100+G100+H100)*$I$3</f>
        <v>7.20941</v>
      </c>
      <c r="J100" s="18">
        <f>ROUND(SUM(F100:I100),2)</f>
        <v>79.3</v>
      </c>
      <c r="K100" s="19">
        <f>ROUND(J100*E100,2)</f>
        <v>1156.35</v>
      </c>
      <c r="L100" s="135"/>
      <c r="M100" s="136"/>
      <c r="N100" s="136"/>
      <c r="O100" s="136"/>
      <c r="P100" s="37">
        <f>Q100+Q100*R100+S100+T100+U100</f>
        <v>72.0941</v>
      </c>
      <c r="Q100" s="99">
        <f>$Q$26</f>
        <v>0</v>
      </c>
      <c r="R100" s="163">
        <f>$R$26</f>
        <v>0.01</v>
      </c>
      <c r="S100" s="99">
        <f>$S$26</f>
        <v>50</v>
      </c>
      <c r="T100" s="99">
        <f>$T$26</f>
        <v>22.0941</v>
      </c>
      <c r="U100" s="99">
        <f>$U$26</f>
        <v>0</v>
      </c>
      <c r="V100" s="37">
        <f>P100*E100</f>
        <v>1051.2761662</v>
      </c>
      <c r="W100" s="139"/>
      <c r="X100" s="139"/>
      <c r="Y100" s="139"/>
      <c r="Z100" s="139"/>
      <c r="AA100" s="139"/>
      <c r="AB100" s="139"/>
      <c r="AC100" s="140"/>
      <c r="AD100" s="140"/>
    </row>
    <row r="101" s="119" customFormat="1" ht="72" customHeight="1" outlineLevel="2" spans="1:30">
      <c r="A101" s="162">
        <f>1+N(A100)</f>
        <v>3</v>
      </c>
      <c r="B101" s="14" t="s">
        <v>106</v>
      </c>
      <c r="C101" s="15" t="s">
        <v>107</v>
      </c>
      <c r="D101" s="142" t="s">
        <v>70</v>
      </c>
      <c r="E101" s="143">
        <v>14.582</v>
      </c>
      <c r="F101" s="143">
        <f>$F$27</f>
        <v>18</v>
      </c>
      <c r="G101" s="143">
        <f>$G$27</f>
        <v>163.255</v>
      </c>
      <c r="H101" s="143">
        <f>$H$27</f>
        <v>3.8</v>
      </c>
      <c r="I101" s="17">
        <f>(F101+G101+H101)*$I$3</f>
        <v>18.5055</v>
      </c>
      <c r="J101" s="18">
        <f>ROUND(SUM(F101:I101),2)</f>
        <v>203.56</v>
      </c>
      <c r="K101" s="19">
        <f>ROUND(J101*E101,2)</f>
        <v>2968.31</v>
      </c>
      <c r="L101" s="135"/>
      <c r="M101" s="136"/>
      <c r="N101" s="136"/>
      <c r="O101" s="136"/>
      <c r="P101" s="37">
        <f>Q101+Q101*R101+S101+T101+U101</f>
        <v>185.055</v>
      </c>
      <c r="Q101" s="99">
        <f>$Q$27</f>
        <v>158.5</v>
      </c>
      <c r="R101" s="163">
        <f>$R$27</f>
        <v>0.03</v>
      </c>
      <c r="S101" s="99">
        <f>$S$27</f>
        <v>18</v>
      </c>
      <c r="T101" s="99">
        <f>$T$27</f>
        <v>3.5</v>
      </c>
      <c r="U101" s="99">
        <f>$U$27</f>
        <v>0.3</v>
      </c>
      <c r="V101" s="37">
        <f>P101*E101</f>
        <v>2698.47201</v>
      </c>
      <c r="W101" s="139"/>
      <c r="X101" s="139"/>
      <c r="Y101" s="139"/>
      <c r="Z101" s="139"/>
      <c r="AA101" s="139"/>
      <c r="AB101" s="139"/>
      <c r="AC101" s="140"/>
      <c r="AD101" s="140"/>
    </row>
    <row r="102" s="119" customFormat="1" ht="72" customHeight="1" outlineLevel="2" spans="1:30">
      <c r="A102" s="162">
        <f>1+N(A101)</f>
        <v>4</v>
      </c>
      <c r="B102" s="14" t="s">
        <v>108</v>
      </c>
      <c r="C102" s="15" t="s">
        <v>109</v>
      </c>
      <c r="D102" s="142" t="s">
        <v>70</v>
      </c>
      <c r="E102" s="143">
        <f>4.42*2</f>
        <v>8.84</v>
      </c>
      <c r="F102" s="143">
        <f>$F$28</f>
        <v>30</v>
      </c>
      <c r="G102" s="143">
        <f>$G$28</f>
        <v>65.6625</v>
      </c>
      <c r="H102" s="143">
        <f>$H$28</f>
        <v>2.7</v>
      </c>
      <c r="I102" s="17">
        <f>(F102+G102+H102)*$I$3</f>
        <v>9.83625</v>
      </c>
      <c r="J102" s="18">
        <f>ROUND(SUM(F102:I102),2)</f>
        <v>108.2</v>
      </c>
      <c r="K102" s="19">
        <f>ROUND(J102*E102,2)</f>
        <v>956.49</v>
      </c>
      <c r="L102" s="135"/>
      <c r="M102" s="136"/>
      <c r="N102" s="136"/>
      <c r="O102" s="136"/>
      <c r="P102" s="37">
        <f>Q102+Q102*R102+S102+T102+U102</f>
        <v>98.3625</v>
      </c>
      <c r="Q102" s="99">
        <f>$Q$28</f>
        <v>63.75</v>
      </c>
      <c r="R102" s="163">
        <f>$R$28</f>
        <v>0.03</v>
      </c>
      <c r="S102" s="99">
        <f>$S$28</f>
        <v>30</v>
      </c>
      <c r="T102" s="99">
        <f>$T$28</f>
        <v>2.5</v>
      </c>
      <c r="U102" s="99">
        <f>$U$28</f>
        <v>0.2</v>
      </c>
      <c r="V102" s="37">
        <f>P102*E102</f>
        <v>869.5245</v>
      </c>
      <c r="W102" s="139"/>
      <c r="X102" s="139"/>
      <c r="Y102" s="139"/>
      <c r="Z102" s="139"/>
      <c r="AA102" s="139"/>
      <c r="AB102" s="139"/>
      <c r="AC102" s="140"/>
      <c r="AD102" s="140"/>
    </row>
    <row r="103" s="119" customFormat="1" ht="72" customHeight="1" outlineLevel="2" spans="1:30">
      <c r="A103" s="162">
        <f>1+N(A102)</f>
        <v>5</v>
      </c>
      <c r="B103" s="14" t="s">
        <v>110</v>
      </c>
      <c r="C103" s="15" t="s">
        <v>111</v>
      </c>
      <c r="D103" s="142" t="s">
        <v>63</v>
      </c>
      <c r="E103" s="143">
        <v>23.553</v>
      </c>
      <c r="F103" s="143">
        <f>$F$29</f>
        <v>45</v>
      </c>
      <c r="G103" s="143">
        <f>$G$29</f>
        <v>85.5</v>
      </c>
      <c r="H103" s="143">
        <f>$H$29</f>
        <v>7.3</v>
      </c>
      <c r="I103" s="17">
        <f>(F103+G103+H103)*$I$3</f>
        <v>13.78</v>
      </c>
      <c r="J103" s="18">
        <f>ROUND(SUM(F103:I103),2)</f>
        <v>151.58</v>
      </c>
      <c r="K103" s="19">
        <f>ROUND(J103*E103,2)</f>
        <v>3570.16</v>
      </c>
      <c r="L103" s="135"/>
      <c r="M103" s="136"/>
      <c r="N103" s="136"/>
      <c r="O103" s="136"/>
      <c r="P103" s="37">
        <f>Q103+Q103*R103+S103+T103+U103</f>
        <v>137.8</v>
      </c>
      <c r="Q103" s="99">
        <f>$Q$29</f>
        <v>85.5</v>
      </c>
      <c r="R103" s="163">
        <f>$R$29</f>
        <v>0</v>
      </c>
      <c r="S103" s="99">
        <f>$S$29</f>
        <v>45</v>
      </c>
      <c r="T103" s="99">
        <f>$T$29</f>
        <v>6.5</v>
      </c>
      <c r="U103" s="99">
        <f>$U$29</f>
        <v>0.8</v>
      </c>
      <c r="V103" s="37">
        <f>P103*E103</f>
        <v>3245.6034</v>
      </c>
      <c r="W103" s="139"/>
      <c r="X103" s="139"/>
      <c r="Y103" s="139"/>
      <c r="Z103" s="139"/>
      <c r="AA103" s="139"/>
      <c r="AB103" s="139"/>
      <c r="AC103" s="140"/>
      <c r="AD103" s="140"/>
    </row>
    <row r="104" s="119" customFormat="1" ht="24" customHeight="1" outlineLevel="1" spans="1:30">
      <c r="A104" s="141"/>
      <c r="B104" s="14" t="s">
        <v>112</v>
      </c>
      <c r="C104" s="15"/>
      <c r="D104" s="142"/>
      <c r="E104" s="143"/>
      <c r="F104" s="143"/>
      <c r="G104" s="143"/>
      <c r="H104" s="143"/>
      <c r="I104" s="143"/>
      <c r="J104" s="143"/>
      <c r="K104" s="144"/>
      <c r="L104" s="135"/>
      <c r="M104" s="136"/>
      <c r="N104" s="136"/>
      <c r="O104" s="136"/>
      <c r="P104" s="137"/>
      <c r="Q104" s="137"/>
      <c r="R104" s="138"/>
      <c r="S104" s="137"/>
      <c r="T104" s="137"/>
      <c r="U104" s="137"/>
      <c r="V104" s="137"/>
      <c r="W104" s="139"/>
      <c r="X104" s="139"/>
      <c r="Y104" s="139"/>
      <c r="Z104" s="139"/>
      <c r="AA104" s="139"/>
      <c r="AB104" s="139"/>
      <c r="AC104" s="140"/>
      <c r="AD104" s="140"/>
    </row>
    <row r="105" s="119" customFormat="1" ht="24" customHeight="1" spans="1:30">
      <c r="A105" s="132" t="s">
        <v>164</v>
      </c>
      <c r="B105" s="8" t="s">
        <v>526</v>
      </c>
      <c r="C105" s="8"/>
      <c r="D105" s="133"/>
      <c r="E105" s="134"/>
      <c r="F105" s="134"/>
      <c r="G105" s="134"/>
      <c r="H105" s="134"/>
      <c r="I105" s="134"/>
      <c r="J105" s="134"/>
      <c r="K105" s="11">
        <f>SUM(K106:K203)</f>
        <v>333461</v>
      </c>
      <c r="L105" s="135"/>
      <c r="M105" s="136"/>
      <c r="N105" s="136"/>
      <c r="O105" s="136"/>
      <c r="P105" s="137"/>
      <c r="Q105" s="137"/>
      <c r="R105" s="138"/>
      <c r="S105" s="137"/>
      <c r="T105" s="137"/>
      <c r="U105" s="137"/>
      <c r="V105" s="137"/>
      <c r="W105" s="139"/>
      <c r="X105" s="139"/>
      <c r="Y105" s="139"/>
      <c r="Z105" s="139"/>
      <c r="AA105" s="139"/>
      <c r="AB105" s="139"/>
      <c r="AC105" s="140"/>
      <c r="AD105" s="140"/>
    </row>
    <row r="106" s="119" customFormat="1" ht="24" customHeight="1" outlineLevel="1" spans="1:30">
      <c r="A106" s="132" t="s">
        <v>58</v>
      </c>
      <c r="B106" s="8" t="s">
        <v>518</v>
      </c>
      <c r="C106" s="8"/>
      <c r="D106" s="133"/>
      <c r="E106" s="134"/>
      <c r="F106" s="134"/>
      <c r="G106" s="134"/>
      <c r="H106" s="134"/>
      <c r="I106" s="134"/>
      <c r="J106" s="134"/>
      <c r="K106" s="11"/>
      <c r="L106" s="135"/>
      <c r="M106" s="136"/>
      <c r="N106" s="136"/>
      <c r="O106" s="136"/>
      <c r="P106" s="137"/>
      <c r="Q106" s="137"/>
      <c r="R106" s="138"/>
      <c r="S106" s="137"/>
      <c r="T106" s="137"/>
      <c r="U106" s="137"/>
      <c r="V106" s="137"/>
      <c r="W106" s="139"/>
      <c r="X106" s="139"/>
      <c r="Y106" s="139"/>
      <c r="Z106" s="139"/>
      <c r="AA106" s="139"/>
      <c r="AB106" s="139"/>
      <c r="AC106" s="140"/>
      <c r="AD106" s="140"/>
    </row>
    <row r="107" s="119" customFormat="1" ht="24" customHeight="1" outlineLevel="1" spans="1:30">
      <c r="A107" s="141"/>
      <c r="B107" s="14" t="s">
        <v>60</v>
      </c>
      <c r="C107" s="15"/>
      <c r="D107" s="142"/>
      <c r="E107" s="143"/>
      <c r="F107" s="143"/>
      <c r="G107" s="143"/>
      <c r="H107" s="143"/>
      <c r="I107" s="143"/>
      <c r="J107" s="143"/>
      <c r="K107" s="144"/>
      <c r="L107" s="135"/>
      <c r="M107" s="136"/>
      <c r="N107" s="136"/>
      <c r="O107" s="136"/>
      <c r="P107" s="137"/>
      <c r="Q107" s="137"/>
      <c r="R107" s="138"/>
      <c r="S107" s="137"/>
      <c r="T107" s="137"/>
      <c r="U107" s="137"/>
      <c r="V107" s="137"/>
      <c r="W107" s="139"/>
      <c r="X107" s="139"/>
      <c r="Y107" s="139"/>
      <c r="Z107" s="139"/>
      <c r="AA107" s="139"/>
      <c r="AB107" s="139"/>
      <c r="AC107" s="140"/>
      <c r="AD107" s="140"/>
    </row>
    <row r="108" s="119" customFormat="1" ht="96" customHeight="1" outlineLevel="2" spans="1:30">
      <c r="A108" s="162">
        <f>1+N(A107)</f>
        <v>1</v>
      </c>
      <c r="B108" s="14" t="s">
        <v>61</v>
      </c>
      <c r="C108" s="15" t="s">
        <v>62</v>
      </c>
      <c r="D108" s="142" t="s">
        <v>63</v>
      </c>
      <c r="E108" s="143">
        <f>9.684+0.936+0.804</f>
        <v>11.424</v>
      </c>
      <c r="F108" s="143">
        <f>$F$7</f>
        <v>130</v>
      </c>
      <c r="G108" s="143">
        <f>$G$7</f>
        <v>628.3</v>
      </c>
      <c r="H108" s="17">
        <f>$H$7</f>
        <v>47.7</v>
      </c>
      <c r="I108" s="17">
        <f>(F108+G108+H108)*$I$3</f>
        <v>80.6</v>
      </c>
      <c r="J108" s="18">
        <f>ROUND(SUM(F108:I108),2)</f>
        <v>886.6</v>
      </c>
      <c r="K108" s="19">
        <f>ROUND(J108*E108,2)</f>
        <v>10128.52</v>
      </c>
      <c r="L108" s="135"/>
      <c r="M108" s="136"/>
      <c r="N108" s="136"/>
      <c r="O108" s="136"/>
      <c r="P108" s="137">
        <f>Q108+Q108*R108+S108+T108+U108</f>
        <v>806</v>
      </c>
      <c r="Q108" s="99">
        <f>$Q$7</f>
        <v>610</v>
      </c>
      <c r="R108" s="163">
        <f>$R$7</f>
        <v>0.03</v>
      </c>
      <c r="S108" s="99">
        <f>$S$7</f>
        <v>130</v>
      </c>
      <c r="T108" s="99">
        <f>$T$7</f>
        <v>46.2</v>
      </c>
      <c r="U108" s="99">
        <f>$U$7</f>
        <v>1.5</v>
      </c>
      <c r="V108" s="37">
        <f>P108*E108</f>
        <v>9207.744</v>
      </c>
      <c r="W108" s="139"/>
      <c r="X108" s="139"/>
      <c r="Y108" s="139"/>
      <c r="Z108" s="139"/>
      <c r="AA108" s="139"/>
      <c r="AB108" s="139"/>
      <c r="AC108" s="140"/>
      <c r="AD108" s="140"/>
    </row>
    <row r="109" s="119" customFormat="1" ht="108" customHeight="1" outlineLevel="2" spans="1:30">
      <c r="A109" s="162">
        <f>1+N(A108)</f>
        <v>2</v>
      </c>
      <c r="B109" s="14" t="s">
        <v>64</v>
      </c>
      <c r="C109" s="15" t="s">
        <v>65</v>
      </c>
      <c r="D109" s="142" t="s">
        <v>63</v>
      </c>
      <c r="E109" s="143">
        <v>16.519</v>
      </c>
      <c r="F109" s="143">
        <f>$F$8</f>
        <v>130</v>
      </c>
      <c r="G109" s="143">
        <f>$G$8</f>
        <v>854.9</v>
      </c>
      <c r="H109" s="143">
        <f>$H$8</f>
        <v>47.7</v>
      </c>
      <c r="I109" s="17">
        <f>(F109+G109+H109)*$I$3</f>
        <v>103.26</v>
      </c>
      <c r="J109" s="18">
        <f>ROUND(SUM(F109:I109),2)</f>
        <v>1135.86</v>
      </c>
      <c r="K109" s="19">
        <f>ROUND(J109*E109,2)</f>
        <v>18763.27</v>
      </c>
      <c r="L109" s="135"/>
      <c r="M109" s="136"/>
      <c r="N109" s="136"/>
      <c r="O109" s="136"/>
      <c r="P109" s="137">
        <f>Q109+Q109*R109+S109+T109+U109</f>
        <v>1032.6</v>
      </c>
      <c r="Q109" s="99">
        <f>$Q$8</f>
        <v>830</v>
      </c>
      <c r="R109" s="163">
        <f>$R$8</f>
        <v>0.03</v>
      </c>
      <c r="S109" s="99">
        <f>$S$8</f>
        <v>130</v>
      </c>
      <c r="T109" s="99">
        <f>$T$8</f>
        <v>46.2</v>
      </c>
      <c r="U109" s="99">
        <f>$U$8</f>
        <v>1.5</v>
      </c>
      <c r="V109" s="37">
        <f>P109*E109</f>
        <v>17057.5194</v>
      </c>
      <c r="W109" s="139"/>
      <c r="X109" s="139"/>
      <c r="Y109" s="139"/>
      <c r="Z109" s="139"/>
      <c r="AA109" s="139"/>
      <c r="AB109" s="139"/>
      <c r="AC109" s="140"/>
      <c r="AD109" s="140"/>
    </row>
    <row r="110" s="119" customFormat="1" ht="36" customHeight="1" outlineLevel="2" spans="1:30">
      <c r="A110" s="162">
        <f>1+N(A109)</f>
        <v>3</v>
      </c>
      <c r="B110" s="14" t="s">
        <v>68</v>
      </c>
      <c r="C110" s="15" t="s">
        <v>69</v>
      </c>
      <c r="D110" s="142" t="s">
        <v>70</v>
      </c>
      <c r="E110" s="143">
        <v>17.264</v>
      </c>
      <c r="F110" s="143">
        <f>$F$9</f>
        <v>12</v>
      </c>
      <c r="G110" s="143">
        <f>$G$9</f>
        <v>19.57</v>
      </c>
      <c r="H110" s="143">
        <f>$H$9</f>
        <v>0.5</v>
      </c>
      <c r="I110" s="17">
        <f>(F110+G110+H110)*$I$3</f>
        <v>3.207</v>
      </c>
      <c r="J110" s="18">
        <f>ROUND(SUM(F110:I110),2)</f>
        <v>35.28</v>
      </c>
      <c r="K110" s="19">
        <f>ROUND(J110*E110,2)</f>
        <v>609.07</v>
      </c>
      <c r="L110" s="135"/>
      <c r="M110" s="136"/>
      <c r="N110" s="136"/>
      <c r="O110" s="136"/>
      <c r="P110" s="37">
        <f>Q110+Q110*R110+S110+T110+U110</f>
        <v>32.07</v>
      </c>
      <c r="Q110" s="99">
        <f>$Q$9</f>
        <v>19</v>
      </c>
      <c r="R110" s="163">
        <f>$R$9</f>
        <v>0.03</v>
      </c>
      <c r="S110" s="99">
        <f>$S$9</f>
        <v>12</v>
      </c>
      <c r="T110" s="99">
        <f>$T$9</f>
        <v>0.3</v>
      </c>
      <c r="U110" s="99">
        <f>$U$9</f>
        <v>0.2</v>
      </c>
      <c r="V110" s="37">
        <f>P110*E110</f>
        <v>553.65648</v>
      </c>
      <c r="W110" s="139"/>
      <c r="X110" s="139"/>
      <c r="Y110" s="139"/>
      <c r="Z110" s="139"/>
      <c r="AA110" s="139"/>
      <c r="AB110" s="139"/>
      <c r="AC110" s="140"/>
      <c r="AD110" s="140"/>
    </row>
    <row r="111" s="119" customFormat="1" ht="48" customHeight="1" outlineLevel="2" spans="1:30">
      <c r="A111" s="162">
        <f>1+N(A110)</f>
        <v>4</v>
      </c>
      <c r="B111" s="14" t="s">
        <v>71</v>
      </c>
      <c r="C111" s="15" t="s">
        <v>72</v>
      </c>
      <c r="D111" s="142" t="s">
        <v>63</v>
      </c>
      <c r="E111" s="143">
        <f>+E108+E109</f>
        <v>27.943</v>
      </c>
      <c r="F111" s="143">
        <f>$F$10</f>
        <v>40</v>
      </c>
      <c r="G111" s="143">
        <f>$G$10</f>
        <v>15</v>
      </c>
      <c r="H111" s="143">
        <f>$H$10</f>
        <v>0.8</v>
      </c>
      <c r="I111" s="17">
        <f>(F111+G111+H111)*$I$3</f>
        <v>5.58</v>
      </c>
      <c r="J111" s="18">
        <f>ROUND(SUM(F111:I111),2)</f>
        <v>61.38</v>
      </c>
      <c r="K111" s="19">
        <f>ROUND(J111*E111,2)</f>
        <v>1715.14</v>
      </c>
      <c r="L111" s="135"/>
      <c r="M111" s="136"/>
      <c r="N111" s="136"/>
      <c r="O111" s="136"/>
      <c r="P111" s="37">
        <f>Q111+Q111*R111+S111+T111+U111</f>
        <v>55.8</v>
      </c>
      <c r="Q111" s="99">
        <f>$Q$10</f>
        <v>15</v>
      </c>
      <c r="R111" s="163">
        <f>$R$10</f>
        <v>0</v>
      </c>
      <c r="S111" s="99">
        <f>$S$10</f>
        <v>40</v>
      </c>
      <c r="T111" s="99">
        <f>$T$10</f>
        <v>0.5</v>
      </c>
      <c r="U111" s="99">
        <f>$U$10</f>
        <v>0.3</v>
      </c>
      <c r="V111" s="37">
        <f>P111*E111</f>
        <v>1559.2194</v>
      </c>
      <c r="W111" s="139"/>
      <c r="X111" s="139"/>
      <c r="Y111" s="139"/>
      <c r="Z111" s="139"/>
      <c r="AA111" s="139"/>
      <c r="AB111" s="139"/>
      <c r="AC111" s="140"/>
      <c r="AD111" s="140"/>
    </row>
    <row r="112" s="119" customFormat="1" ht="24" customHeight="1" outlineLevel="1" spans="1:30">
      <c r="A112" s="141"/>
      <c r="B112" s="14" t="s">
        <v>494</v>
      </c>
      <c r="C112" s="15"/>
      <c r="D112" s="142"/>
      <c r="E112" s="143"/>
      <c r="F112" s="143"/>
      <c r="G112" s="143"/>
      <c r="H112" s="143"/>
      <c r="I112" s="143"/>
      <c r="J112" s="143"/>
      <c r="K112" s="144"/>
      <c r="L112" s="135"/>
      <c r="M112" s="136"/>
      <c r="N112" s="136"/>
      <c r="O112" s="136"/>
      <c r="P112" s="137"/>
      <c r="Q112" s="137"/>
      <c r="R112" s="138"/>
      <c r="S112" s="137"/>
      <c r="T112" s="137"/>
      <c r="U112" s="137"/>
      <c r="V112" s="137"/>
      <c r="W112" s="139"/>
      <c r="X112" s="139"/>
      <c r="Y112" s="139"/>
      <c r="Z112" s="139"/>
      <c r="AA112" s="139"/>
      <c r="AB112" s="139"/>
      <c r="AC112" s="140"/>
      <c r="AD112" s="140"/>
    </row>
    <row r="113" s="119" customFormat="1" ht="72" customHeight="1" outlineLevel="2" spans="1:30">
      <c r="A113" s="162">
        <f t="shared" ref="A113:A124" si="27">1+N(A112)</f>
        <v>1</v>
      </c>
      <c r="B113" s="164" t="s">
        <v>74</v>
      </c>
      <c r="C113" s="15" t="s">
        <v>75</v>
      </c>
      <c r="D113" s="142" t="s">
        <v>63</v>
      </c>
      <c r="E113" s="143">
        <v>6.099</v>
      </c>
      <c r="F113" s="143">
        <f>$F$12</f>
        <v>95</v>
      </c>
      <c r="G113" s="143">
        <f>$G$12</f>
        <v>813.75</v>
      </c>
      <c r="H113" s="143">
        <f>$H$12</f>
        <v>18.3</v>
      </c>
      <c r="I113" s="17">
        <f t="shared" ref="I113:I124" si="28">(F113+G113+H113)*$I$3</f>
        <v>92.705</v>
      </c>
      <c r="J113" s="18">
        <f t="shared" ref="J113:J124" si="29">ROUND(SUM(F113:I113),2)</f>
        <v>1019.76</v>
      </c>
      <c r="K113" s="19">
        <f t="shared" ref="K113:K124" si="30">ROUND(J113*E113,2)</f>
        <v>6219.52</v>
      </c>
      <c r="L113" s="135"/>
      <c r="M113" s="136"/>
      <c r="N113" s="136"/>
      <c r="O113" s="136"/>
      <c r="P113" s="37">
        <f t="shared" ref="P113:P124" si="31">Q113+Q113*R113+S113+T113+U113</f>
        <v>927.05</v>
      </c>
      <c r="Q113" s="99">
        <f>$Q$12</f>
        <v>775</v>
      </c>
      <c r="R113" s="163">
        <f>$R$12</f>
        <v>0.05</v>
      </c>
      <c r="S113" s="99">
        <f>$S$12</f>
        <v>95</v>
      </c>
      <c r="T113" s="99">
        <f>$T$12</f>
        <v>16.8</v>
      </c>
      <c r="U113" s="99">
        <f>$U$12</f>
        <v>1.5</v>
      </c>
      <c r="V113" s="37">
        <f t="shared" ref="V113:V124" si="32">P113*E113</f>
        <v>5654.07795</v>
      </c>
      <c r="W113" s="139"/>
      <c r="X113" s="139"/>
      <c r="Y113" s="139"/>
      <c r="Z113" s="139"/>
      <c r="AA113" s="139"/>
      <c r="AB113" s="139"/>
      <c r="AC113" s="140"/>
      <c r="AD113" s="140"/>
    </row>
    <row r="114" s="119" customFormat="1" ht="96" customHeight="1" outlineLevel="2" spans="1:30">
      <c r="A114" s="162">
        <f t="shared" si="27"/>
        <v>2</v>
      </c>
      <c r="B114" s="165" t="s">
        <v>76</v>
      </c>
      <c r="C114" s="166" t="s">
        <v>77</v>
      </c>
      <c r="D114" s="142" t="s">
        <v>63</v>
      </c>
      <c r="E114" s="143">
        <v>24.873</v>
      </c>
      <c r="F114" s="143">
        <f>$F$13</f>
        <v>145</v>
      </c>
      <c r="G114" s="143">
        <f>$G$13</f>
        <v>651</v>
      </c>
      <c r="H114" s="143">
        <f>$H$13</f>
        <v>113.55</v>
      </c>
      <c r="I114" s="17">
        <f t="shared" si="28"/>
        <v>90.955</v>
      </c>
      <c r="J114" s="18">
        <f t="shared" si="29"/>
        <v>1000.51</v>
      </c>
      <c r="K114" s="19">
        <f t="shared" si="30"/>
        <v>24885.69</v>
      </c>
      <c r="L114" s="135"/>
      <c r="M114" s="136"/>
      <c r="N114" s="136"/>
      <c r="O114" s="136"/>
      <c r="P114" s="37">
        <f t="shared" si="31"/>
        <v>909.55</v>
      </c>
      <c r="Q114" s="99">
        <f>$Q$13</f>
        <v>620</v>
      </c>
      <c r="R114" s="163">
        <f>$R$13</f>
        <v>0.05</v>
      </c>
      <c r="S114" s="99">
        <f>$S$13</f>
        <v>145</v>
      </c>
      <c r="T114" s="99">
        <f>$T$13</f>
        <v>111.75</v>
      </c>
      <c r="U114" s="99">
        <f>$U$13</f>
        <v>1.8</v>
      </c>
      <c r="V114" s="37">
        <f t="shared" si="32"/>
        <v>22623.23715</v>
      </c>
      <c r="W114" s="139"/>
      <c r="X114" s="139"/>
      <c r="Y114" s="139"/>
      <c r="Z114" s="139"/>
      <c r="AA114" s="139"/>
      <c r="AB114" s="139"/>
      <c r="AC114" s="140"/>
      <c r="AD114" s="140"/>
    </row>
    <row r="115" s="119" customFormat="1" ht="60" customHeight="1" outlineLevel="2" spans="1:30">
      <c r="A115" s="162">
        <f t="shared" si="27"/>
        <v>3</v>
      </c>
      <c r="B115" s="14" t="s">
        <v>226</v>
      </c>
      <c r="C115" s="15" t="s">
        <v>225</v>
      </c>
      <c r="D115" s="142" t="s">
        <v>63</v>
      </c>
      <c r="E115" s="143">
        <v>4.93</v>
      </c>
      <c r="F115" s="143">
        <f>$F$14</f>
        <v>35</v>
      </c>
      <c r="G115" s="143">
        <f>$G$14</f>
        <v>346.08</v>
      </c>
      <c r="H115" s="143">
        <f>$H$14</f>
        <v>54.7</v>
      </c>
      <c r="I115" s="17">
        <f t="shared" si="28"/>
        <v>43.578</v>
      </c>
      <c r="J115" s="18">
        <f t="shared" si="29"/>
        <v>479.36</v>
      </c>
      <c r="K115" s="19">
        <f t="shared" si="30"/>
        <v>2363.24</v>
      </c>
      <c r="L115" s="135"/>
      <c r="M115" s="136"/>
      <c r="N115" s="136"/>
      <c r="O115" s="136"/>
      <c r="P115" s="37">
        <f t="shared" si="31"/>
        <v>435.78</v>
      </c>
      <c r="Q115" s="99">
        <f>$Q$14</f>
        <v>336</v>
      </c>
      <c r="R115" s="163">
        <f>$R$14</f>
        <v>0.03</v>
      </c>
      <c r="S115" s="99">
        <f>$S$14</f>
        <v>35</v>
      </c>
      <c r="T115" s="99">
        <f>$T$14</f>
        <v>53.5</v>
      </c>
      <c r="U115" s="99">
        <f>$U$14</f>
        <v>1.2</v>
      </c>
      <c r="V115" s="37">
        <f t="shared" si="32"/>
        <v>2148.3954</v>
      </c>
      <c r="W115" s="139"/>
      <c r="X115" s="139"/>
      <c r="Y115" s="139"/>
      <c r="Z115" s="139"/>
      <c r="AA115" s="139"/>
      <c r="AB115" s="139"/>
      <c r="AC115" s="140"/>
      <c r="AD115" s="140"/>
    </row>
    <row r="116" s="119" customFormat="1" ht="72" customHeight="1" outlineLevel="2" spans="1:30">
      <c r="A116" s="162">
        <f t="shared" si="27"/>
        <v>4</v>
      </c>
      <c r="B116" s="165" t="s">
        <v>228</v>
      </c>
      <c r="C116" s="15" t="s">
        <v>229</v>
      </c>
      <c r="D116" s="142" t="s">
        <v>63</v>
      </c>
      <c r="E116" s="143">
        <v>25.481</v>
      </c>
      <c r="F116" s="143">
        <f>$F$15</f>
        <v>110</v>
      </c>
      <c r="G116" s="143">
        <f>$G$15</f>
        <v>86.355</v>
      </c>
      <c r="H116" s="143">
        <f>$H$15</f>
        <v>56.797</v>
      </c>
      <c r="I116" s="17">
        <f t="shared" si="28"/>
        <v>25.3152</v>
      </c>
      <c r="J116" s="18">
        <f t="shared" si="29"/>
        <v>278.47</v>
      </c>
      <c r="K116" s="19">
        <f t="shared" si="30"/>
        <v>7095.69</v>
      </c>
      <c r="L116" s="135"/>
      <c r="M116" s="136"/>
      <c r="N116" s="136"/>
      <c r="O116" s="136"/>
      <c r="P116" s="37">
        <f t="shared" si="31"/>
        <v>253.152</v>
      </c>
      <c r="Q116" s="99">
        <f>$Q$15</f>
        <v>85.5</v>
      </c>
      <c r="R116" s="163">
        <f>$R$15</f>
        <v>0.01</v>
      </c>
      <c r="S116" s="99">
        <f>$S$15</f>
        <v>110</v>
      </c>
      <c r="T116" s="99">
        <f>$T$15</f>
        <v>55.997</v>
      </c>
      <c r="U116" s="99">
        <f>$U$15</f>
        <v>0.8</v>
      </c>
      <c r="V116" s="37">
        <f t="shared" si="32"/>
        <v>6450.566112</v>
      </c>
      <c r="W116" s="139"/>
      <c r="X116" s="139"/>
      <c r="Y116" s="139"/>
      <c r="Z116" s="139"/>
      <c r="AA116" s="139"/>
      <c r="AB116" s="139"/>
      <c r="AC116" s="140"/>
      <c r="AD116" s="140"/>
    </row>
    <row r="117" s="119" customFormat="1" ht="48" customHeight="1" outlineLevel="2" spans="1:30">
      <c r="A117" s="162">
        <f t="shared" si="27"/>
        <v>5</v>
      </c>
      <c r="B117" s="165" t="s">
        <v>82</v>
      </c>
      <c r="C117" s="166" t="s">
        <v>83</v>
      </c>
      <c r="D117" s="165" t="s">
        <v>63</v>
      </c>
      <c r="E117" s="143">
        <f>0.21*2.2*2+0.15*1.11</f>
        <v>1.0905</v>
      </c>
      <c r="F117" s="143">
        <f>$F$16</f>
        <v>110</v>
      </c>
      <c r="G117" s="143">
        <f>$G$16</f>
        <v>454.5</v>
      </c>
      <c r="H117" s="143">
        <f>$H$16</f>
        <v>55.2</v>
      </c>
      <c r="I117" s="17">
        <f t="shared" si="28"/>
        <v>61.97</v>
      </c>
      <c r="J117" s="18">
        <f t="shared" si="29"/>
        <v>681.67</v>
      </c>
      <c r="K117" s="19">
        <f t="shared" si="30"/>
        <v>743.36</v>
      </c>
      <c r="L117" s="135"/>
      <c r="M117" s="136"/>
      <c r="N117" s="136"/>
      <c r="O117" s="136"/>
      <c r="P117" s="37">
        <f t="shared" si="31"/>
        <v>619.7</v>
      </c>
      <c r="Q117" s="99">
        <f>$Q$16</f>
        <v>450</v>
      </c>
      <c r="R117" s="163">
        <f>$R$16</f>
        <v>0.01</v>
      </c>
      <c r="S117" s="99">
        <f>$S$16</f>
        <v>110</v>
      </c>
      <c r="T117" s="99">
        <f>$T$16</f>
        <v>54</v>
      </c>
      <c r="U117" s="99">
        <f>$U$16</f>
        <v>1.2</v>
      </c>
      <c r="V117" s="37">
        <f t="shared" si="32"/>
        <v>675.78285</v>
      </c>
      <c r="W117" s="139"/>
      <c r="X117" s="139"/>
      <c r="Y117" s="139"/>
      <c r="Z117" s="139"/>
      <c r="AA117" s="139"/>
      <c r="AB117" s="139"/>
      <c r="AC117" s="140"/>
      <c r="AD117" s="140"/>
    </row>
    <row r="118" s="119" customFormat="1" ht="48" customHeight="1" outlineLevel="2" spans="1:30">
      <c r="A118" s="162">
        <f t="shared" si="27"/>
        <v>6</v>
      </c>
      <c r="B118" s="165" t="s">
        <v>84</v>
      </c>
      <c r="C118" s="166" t="s">
        <v>83</v>
      </c>
      <c r="D118" s="165" t="s">
        <v>63</v>
      </c>
      <c r="E118" s="143">
        <f>0.34*2.5*2*2</f>
        <v>3.4</v>
      </c>
      <c r="F118" s="143">
        <f>$F$17</f>
        <v>110</v>
      </c>
      <c r="G118" s="143">
        <f>$G$17</f>
        <v>454.5</v>
      </c>
      <c r="H118" s="143">
        <f>$H$17</f>
        <v>55.2</v>
      </c>
      <c r="I118" s="17">
        <f t="shared" si="28"/>
        <v>61.97</v>
      </c>
      <c r="J118" s="18">
        <f t="shared" si="29"/>
        <v>681.67</v>
      </c>
      <c r="K118" s="19">
        <f t="shared" si="30"/>
        <v>2317.68</v>
      </c>
      <c r="L118" s="135"/>
      <c r="M118" s="136"/>
      <c r="N118" s="136"/>
      <c r="O118" s="136"/>
      <c r="P118" s="37">
        <f t="shared" si="31"/>
        <v>619.7</v>
      </c>
      <c r="Q118" s="99">
        <f>$Q$17</f>
        <v>450</v>
      </c>
      <c r="R118" s="163">
        <f>$R$17</f>
        <v>0.01</v>
      </c>
      <c r="S118" s="99">
        <f>$S$17</f>
        <v>110</v>
      </c>
      <c r="T118" s="99">
        <f>$T$17</f>
        <v>54</v>
      </c>
      <c r="U118" s="99">
        <f>$U$17</f>
        <v>1.2</v>
      </c>
      <c r="V118" s="37">
        <f t="shared" si="32"/>
        <v>2106.98</v>
      </c>
      <c r="W118" s="139"/>
      <c r="X118" s="139"/>
      <c r="Y118" s="139"/>
      <c r="Z118" s="139"/>
      <c r="AA118" s="139"/>
      <c r="AB118" s="139"/>
      <c r="AC118" s="140"/>
      <c r="AD118" s="140"/>
    </row>
    <row r="119" s="119" customFormat="1" ht="60" customHeight="1" outlineLevel="2" spans="1:30">
      <c r="A119" s="162">
        <f t="shared" si="27"/>
        <v>7</v>
      </c>
      <c r="B119" s="165" t="s">
        <v>85</v>
      </c>
      <c r="C119" s="166" t="s">
        <v>86</v>
      </c>
      <c r="D119" s="165" t="s">
        <v>63</v>
      </c>
      <c r="E119" s="143">
        <f>+(0.061+0.22+0.114+0.074)*0.95*2</f>
        <v>0.8911</v>
      </c>
      <c r="F119" s="143">
        <f>$F$18</f>
        <v>110</v>
      </c>
      <c r="G119" s="143">
        <f>$G$18</f>
        <v>454.5</v>
      </c>
      <c r="H119" s="143">
        <f>$H$18</f>
        <v>55.2</v>
      </c>
      <c r="I119" s="17">
        <f t="shared" si="28"/>
        <v>61.97</v>
      </c>
      <c r="J119" s="18">
        <f t="shared" si="29"/>
        <v>681.67</v>
      </c>
      <c r="K119" s="19">
        <f t="shared" si="30"/>
        <v>607.44</v>
      </c>
      <c r="L119" s="135"/>
      <c r="M119" s="136"/>
      <c r="N119" s="136"/>
      <c r="O119" s="136"/>
      <c r="P119" s="37">
        <f t="shared" si="31"/>
        <v>619.7</v>
      </c>
      <c r="Q119" s="99">
        <f>$Q$18</f>
        <v>450</v>
      </c>
      <c r="R119" s="163">
        <f>$R$18</f>
        <v>0.01</v>
      </c>
      <c r="S119" s="99">
        <f>$S$18</f>
        <v>110</v>
      </c>
      <c r="T119" s="99">
        <f>$T$18</f>
        <v>54</v>
      </c>
      <c r="U119" s="99">
        <f>$U$18</f>
        <v>1.2</v>
      </c>
      <c r="V119" s="37">
        <f t="shared" si="32"/>
        <v>552.21467</v>
      </c>
      <c r="W119" s="139"/>
      <c r="X119" s="139"/>
      <c r="Y119" s="139"/>
      <c r="Z119" s="139"/>
      <c r="AA119" s="139"/>
      <c r="AB119" s="139"/>
      <c r="AC119" s="140"/>
      <c r="AD119" s="140"/>
    </row>
    <row r="120" s="119" customFormat="1" ht="48" customHeight="1" outlineLevel="2" spans="1:30">
      <c r="A120" s="162">
        <f t="shared" si="27"/>
        <v>8</v>
      </c>
      <c r="B120" s="165" t="s">
        <v>87</v>
      </c>
      <c r="C120" s="166" t="s">
        <v>88</v>
      </c>
      <c r="D120" s="165" t="s">
        <v>63</v>
      </c>
      <c r="E120" s="143">
        <v>0.253</v>
      </c>
      <c r="F120" s="143">
        <f>$F$19</f>
        <v>110</v>
      </c>
      <c r="G120" s="143">
        <f>$G$19</f>
        <v>454.5</v>
      </c>
      <c r="H120" s="143">
        <f>$H$19</f>
        <v>55.2</v>
      </c>
      <c r="I120" s="17">
        <f t="shared" si="28"/>
        <v>61.97</v>
      </c>
      <c r="J120" s="18">
        <f t="shared" si="29"/>
        <v>681.67</v>
      </c>
      <c r="K120" s="19">
        <f t="shared" si="30"/>
        <v>172.46</v>
      </c>
      <c r="L120" s="135"/>
      <c r="M120" s="136"/>
      <c r="N120" s="136"/>
      <c r="O120" s="136"/>
      <c r="P120" s="37">
        <f t="shared" si="31"/>
        <v>619.7</v>
      </c>
      <c r="Q120" s="99">
        <f>$Q$19</f>
        <v>450</v>
      </c>
      <c r="R120" s="163">
        <f>$R$19</f>
        <v>0.01</v>
      </c>
      <c r="S120" s="99">
        <f>$S$19</f>
        <v>110</v>
      </c>
      <c r="T120" s="99">
        <f>$T$19</f>
        <v>54</v>
      </c>
      <c r="U120" s="99">
        <f>$U$19</f>
        <v>1.2</v>
      </c>
      <c r="V120" s="37">
        <f t="shared" si="32"/>
        <v>156.7841</v>
      </c>
      <c r="W120" s="139"/>
      <c r="X120" s="139"/>
      <c r="Y120" s="139"/>
      <c r="Z120" s="139"/>
      <c r="AA120" s="139"/>
      <c r="AB120" s="139"/>
      <c r="AC120" s="140"/>
      <c r="AD120" s="140"/>
    </row>
    <row r="121" s="119" customFormat="1" ht="48" customHeight="1" outlineLevel="2" spans="1:30">
      <c r="A121" s="162">
        <f t="shared" si="27"/>
        <v>9</v>
      </c>
      <c r="B121" s="165" t="s">
        <v>91</v>
      </c>
      <c r="C121" s="166" t="s">
        <v>92</v>
      </c>
      <c r="D121" s="165" t="s">
        <v>70</v>
      </c>
      <c r="E121" s="143">
        <v>26.415</v>
      </c>
      <c r="F121" s="143">
        <f>$F$20</f>
        <v>12</v>
      </c>
      <c r="G121" s="143">
        <f>$G$20</f>
        <v>25.75</v>
      </c>
      <c r="H121" s="143">
        <f>$H$20</f>
        <v>3.8</v>
      </c>
      <c r="I121" s="17">
        <f t="shared" si="28"/>
        <v>4.155</v>
      </c>
      <c r="J121" s="18">
        <f t="shared" si="29"/>
        <v>45.71</v>
      </c>
      <c r="K121" s="19">
        <f t="shared" si="30"/>
        <v>1207.43</v>
      </c>
      <c r="L121" s="135"/>
      <c r="M121" s="136"/>
      <c r="N121" s="136"/>
      <c r="O121" s="136"/>
      <c r="P121" s="37">
        <f t="shared" si="31"/>
        <v>41.55</v>
      </c>
      <c r="Q121" s="99">
        <f>$Q$20</f>
        <v>25</v>
      </c>
      <c r="R121" s="163">
        <f>$R$20</f>
        <v>0.03</v>
      </c>
      <c r="S121" s="99">
        <f>$S$20</f>
        <v>12</v>
      </c>
      <c r="T121" s="99">
        <f>$T$20</f>
        <v>3.5</v>
      </c>
      <c r="U121" s="99">
        <f>$U$20</f>
        <v>0.3</v>
      </c>
      <c r="V121" s="37">
        <f t="shared" si="32"/>
        <v>1097.54325</v>
      </c>
      <c r="W121" s="139"/>
      <c r="X121" s="139"/>
      <c r="Y121" s="139"/>
      <c r="Z121" s="139"/>
      <c r="AA121" s="139"/>
      <c r="AB121" s="139"/>
      <c r="AC121" s="140"/>
      <c r="AD121" s="140"/>
    </row>
    <row r="122" s="119" customFormat="1" ht="36" customHeight="1" outlineLevel="2" spans="1:30">
      <c r="A122" s="162">
        <f t="shared" si="27"/>
        <v>10</v>
      </c>
      <c r="B122" s="165" t="s">
        <v>519</v>
      </c>
      <c r="C122" s="166" t="s">
        <v>520</v>
      </c>
      <c r="D122" s="165" t="s">
        <v>70</v>
      </c>
      <c r="E122" s="143">
        <v>11.877</v>
      </c>
      <c r="F122" s="143">
        <f>$F$21</f>
        <v>12</v>
      </c>
      <c r="G122" s="143">
        <f>$G$21</f>
        <v>30.385</v>
      </c>
      <c r="H122" s="143">
        <f>$H$21</f>
        <v>3.8</v>
      </c>
      <c r="I122" s="17">
        <f t="shared" si="28"/>
        <v>4.6185</v>
      </c>
      <c r="J122" s="18">
        <f t="shared" si="29"/>
        <v>50.8</v>
      </c>
      <c r="K122" s="19">
        <f t="shared" si="30"/>
        <v>603.35</v>
      </c>
      <c r="L122" s="135"/>
      <c r="M122" s="136"/>
      <c r="N122" s="136"/>
      <c r="O122" s="136"/>
      <c r="P122" s="37">
        <f t="shared" si="31"/>
        <v>46.185</v>
      </c>
      <c r="Q122" s="99">
        <f>$Q$21</f>
        <v>29.5</v>
      </c>
      <c r="R122" s="163">
        <f>$R$21</f>
        <v>0.03</v>
      </c>
      <c r="S122" s="99">
        <f>$S$21</f>
        <v>12</v>
      </c>
      <c r="T122" s="99">
        <f>$T$21</f>
        <v>3.5</v>
      </c>
      <c r="U122" s="99">
        <f>$U$21</f>
        <v>0.3</v>
      </c>
      <c r="V122" s="37">
        <f t="shared" si="32"/>
        <v>548.539245</v>
      </c>
      <c r="W122" s="139"/>
      <c r="X122" s="139"/>
      <c r="Y122" s="139"/>
      <c r="Z122" s="139"/>
      <c r="AA122" s="139"/>
      <c r="AB122" s="139"/>
      <c r="AC122" s="140"/>
      <c r="AD122" s="140"/>
    </row>
    <row r="123" s="119" customFormat="1" ht="48" customHeight="1" outlineLevel="2" spans="1:30">
      <c r="A123" s="162">
        <f t="shared" si="27"/>
        <v>11</v>
      </c>
      <c r="B123" s="165" t="s">
        <v>97</v>
      </c>
      <c r="C123" s="166" t="s">
        <v>98</v>
      </c>
      <c r="D123" s="165" t="s">
        <v>70</v>
      </c>
      <c r="E123" s="143">
        <v>10.795</v>
      </c>
      <c r="F123" s="143">
        <f>$F$22</f>
        <v>22</v>
      </c>
      <c r="G123" s="143">
        <f>$G$22</f>
        <v>58.195</v>
      </c>
      <c r="H123" s="143">
        <f>$H$22</f>
        <v>6.3</v>
      </c>
      <c r="I123" s="17">
        <f t="shared" si="28"/>
        <v>8.6495</v>
      </c>
      <c r="J123" s="18">
        <f t="shared" si="29"/>
        <v>95.14</v>
      </c>
      <c r="K123" s="19">
        <f t="shared" si="30"/>
        <v>1027.04</v>
      </c>
      <c r="L123" s="135"/>
      <c r="M123" s="136"/>
      <c r="N123" s="136"/>
      <c r="O123" s="136"/>
      <c r="P123" s="37">
        <f t="shared" si="31"/>
        <v>86.495</v>
      </c>
      <c r="Q123" s="99">
        <f>$Q$22</f>
        <v>56.5</v>
      </c>
      <c r="R123" s="163">
        <f>$R$22</f>
        <v>0.03</v>
      </c>
      <c r="S123" s="99">
        <f>$S$22</f>
        <v>22</v>
      </c>
      <c r="T123" s="99">
        <f>$T$22</f>
        <v>6</v>
      </c>
      <c r="U123" s="99">
        <f>$U$22</f>
        <v>0.3</v>
      </c>
      <c r="V123" s="37">
        <f t="shared" si="32"/>
        <v>933.713525</v>
      </c>
      <c r="W123" s="139"/>
      <c r="X123" s="139"/>
      <c r="Y123" s="139"/>
      <c r="Z123" s="139"/>
      <c r="AA123" s="139"/>
      <c r="AB123" s="139"/>
      <c r="AC123" s="140"/>
      <c r="AD123" s="140"/>
    </row>
    <row r="124" s="119" customFormat="1" ht="48" customHeight="1" outlineLevel="2" spans="1:30">
      <c r="A124" s="162">
        <f t="shared" si="27"/>
        <v>12</v>
      </c>
      <c r="B124" s="165" t="s">
        <v>99</v>
      </c>
      <c r="C124" s="166" t="s">
        <v>100</v>
      </c>
      <c r="D124" s="165" t="s">
        <v>70</v>
      </c>
      <c r="E124" s="143">
        <v>26.025</v>
      </c>
      <c r="F124" s="143">
        <f>$F$23</f>
        <v>12</v>
      </c>
      <c r="G124" s="143">
        <f>$G$23</f>
        <v>23.4325</v>
      </c>
      <c r="H124" s="143">
        <f>$H$23</f>
        <v>3.8</v>
      </c>
      <c r="I124" s="17">
        <f t="shared" si="28"/>
        <v>3.92325</v>
      </c>
      <c r="J124" s="18">
        <f t="shared" si="29"/>
        <v>43.16</v>
      </c>
      <c r="K124" s="19">
        <f t="shared" si="30"/>
        <v>1123.24</v>
      </c>
      <c r="L124" s="135"/>
      <c r="M124" s="136"/>
      <c r="N124" s="136"/>
      <c r="O124" s="136"/>
      <c r="P124" s="37">
        <f t="shared" si="31"/>
        <v>39.2325</v>
      </c>
      <c r="Q124" s="99">
        <f>$Q$23</f>
        <v>22.75</v>
      </c>
      <c r="R124" s="163">
        <f>$R$23</f>
        <v>0.03</v>
      </c>
      <c r="S124" s="99">
        <f>$S$23</f>
        <v>12</v>
      </c>
      <c r="T124" s="99">
        <f>$T$23</f>
        <v>3.5</v>
      </c>
      <c r="U124" s="99">
        <f>$U$23</f>
        <v>0.3</v>
      </c>
      <c r="V124" s="37">
        <f t="shared" si="32"/>
        <v>1021.0258125</v>
      </c>
      <c r="W124" s="139"/>
      <c r="X124" s="139"/>
      <c r="Y124" s="139"/>
      <c r="Z124" s="139"/>
      <c r="AA124" s="139"/>
      <c r="AB124" s="139"/>
      <c r="AC124" s="140"/>
      <c r="AD124" s="140"/>
    </row>
    <row r="125" s="119" customFormat="1" ht="24" customHeight="1" outlineLevel="1" spans="1:30">
      <c r="A125" s="141"/>
      <c r="B125" s="14" t="s">
        <v>101</v>
      </c>
      <c r="C125" s="15"/>
      <c r="D125" s="142"/>
      <c r="E125" s="143"/>
      <c r="F125" s="143"/>
      <c r="G125" s="143"/>
      <c r="H125" s="143"/>
      <c r="I125" s="143"/>
      <c r="J125" s="143"/>
      <c r="K125" s="144"/>
      <c r="L125" s="135"/>
      <c r="M125" s="136"/>
      <c r="N125" s="136"/>
      <c r="O125" s="136"/>
      <c r="P125" s="137"/>
      <c r="Q125" s="137"/>
      <c r="R125" s="138"/>
      <c r="S125" s="137"/>
      <c r="T125" s="137"/>
      <c r="U125" s="137"/>
      <c r="V125" s="137"/>
      <c r="W125" s="139"/>
      <c r="X125" s="139"/>
      <c r="Y125" s="139"/>
      <c r="Z125" s="139"/>
      <c r="AA125" s="139"/>
      <c r="AB125" s="139"/>
      <c r="AC125" s="140"/>
      <c r="AD125" s="140"/>
    </row>
    <row r="126" s="119" customFormat="1" ht="96" customHeight="1" outlineLevel="2" spans="1:30">
      <c r="A126" s="162">
        <f>1+N(A125)</f>
        <v>1</v>
      </c>
      <c r="B126" s="14" t="s">
        <v>460</v>
      </c>
      <c r="C126" s="167" t="s">
        <v>103</v>
      </c>
      <c r="D126" s="142" t="s">
        <v>63</v>
      </c>
      <c r="E126" s="143">
        <v>28.095</v>
      </c>
      <c r="F126" s="143">
        <f>$F$25</f>
        <v>70</v>
      </c>
      <c r="G126" s="143">
        <f>$G$25</f>
        <v>0</v>
      </c>
      <c r="H126" s="143">
        <f>$H$25</f>
        <v>66.711</v>
      </c>
      <c r="I126" s="17">
        <f>(F126+G126+H126)*$I$3</f>
        <v>13.6711</v>
      </c>
      <c r="J126" s="18">
        <f>ROUND(SUM(F126:I126),2)</f>
        <v>150.38</v>
      </c>
      <c r="K126" s="19">
        <f>ROUND(J126*E126,2)</f>
        <v>4224.93</v>
      </c>
      <c r="L126" s="135"/>
      <c r="M126" s="136"/>
      <c r="N126" s="136"/>
      <c r="O126" s="136"/>
      <c r="P126" s="37">
        <f>Q126+Q126*R126+S126+T126+U126</f>
        <v>136.711</v>
      </c>
      <c r="Q126" s="99">
        <f>$Q$25</f>
        <v>0</v>
      </c>
      <c r="R126" s="163">
        <f>$R$25</f>
        <v>0.01</v>
      </c>
      <c r="S126" s="99">
        <f>$S$25</f>
        <v>70</v>
      </c>
      <c r="T126" s="99">
        <f>$T$25</f>
        <v>64.711</v>
      </c>
      <c r="U126" s="99">
        <f>$U$25</f>
        <v>2</v>
      </c>
      <c r="V126" s="37">
        <f>P126*E126</f>
        <v>3840.895545</v>
      </c>
      <c r="W126" s="139"/>
      <c r="X126" s="139"/>
      <c r="Y126" s="139"/>
      <c r="Z126" s="139"/>
      <c r="AA126" s="139"/>
      <c r="AB126" s="139"/>
      <c r="AC126" s="140"/>
      <c r="AD126" s="140"/>
    </row>
    <row r="127" s="119" customFormat="1" ht="72" customHeight="1" outlineLevel="2" spans="1:30">
      <c r="A127" s="145">
        <f>1+N(A126)</f>
        <v>2</v>
      </c>
      <c r="B127" s="146" t="s">
        <v>104</v>
      </c>
      <c r="C127" s="161" t="s">
        <v>105</v>
      </c>
      <c r="D127" s="148" t="s">
        <v>70</v>
      </c>
      <c r="E127" s="149">
        <v>17.282</v>
      </c>
      <c r="F127" s="149">
        <f>S127*$S$1</f>
        <v>50</v>
      </c>
      <c r="G127" s="149">
        <f>Q127*(1+R127)*$Q$1</f>
        <v>0</v>
      </c>
      <c r="H127" s="149">
        <f>(T127+U127)*$T$1</f>
        <v>22.0941</v>
      </c>
      <c r="I127" s="150">
        <f>(F127+G127+H127)*$I$3</f>
        <v>7.20941</v>
      </c>
      <c r="J127" s="151">
        <f>ROUND(SUM(F127:I127),2)</f>
        <v>79.3</v>
      </c>
      <c r="K127" s="152">
        <f>ROUND(J127*E127,2)</f>
        <v>1370.46</v>
      </c>
      <c r="L127" s="153"/>
      <c r="M127" s="136"/>
      <c r="N127" s="136"/>
      <c r="O127" s="136"/>
      <c r="P127" s="37">
        <f>Q127+Q127*R127+S127+T127+U127</f>
        <v>72.0941</v>
      </c>
      <c r="Q127" s="71"/>
      <c r="R127" s="157">
        <v>0.01</v>
      </c>
      <c r="S127" s="71">
        <v>50</v>
      </c>
      <c r="T127" s="71">
        <v>22.0941</v>
      </c>
      <c r="U127" s="71"/>
      <c r="V127" s="37">
        <f>P127*E127</f>
        <v>1245.9302362</v>
      </c>
      <c r="W127" s="139"/>
      <c r="X127" s="139"/>
      <c r="Y127" s="139"/>
      <c r="Z127" s="139"/>
      <c r="AA127" s="139"/>
      <c r="AB127" s="139"/>
      <c r="AC127" s="140"/>
      <c r="AD127" s="140"/>
    </row>
    <row r="128" s="119" customFormat="1" ht="72" customHeight="1" outlineLevel="2" spans="1:30">
      <c r="A128" s="162">
        <f>1+N(A127)</f>
        <v>3</v>
      </c>
      <c r="B128" s="14" t="s">
        <v>106</v>
      </c>
      <c r="C128" s="15" t="s">
        <v>107</v>
      </c>
      <c r="D128" s="142" t="s">
        <v>70</v>
      </c>
      <c r="E128" s="143">
        <v>17.282</v>
      </c>
      <c r="F128" s="143">
        <f>$F$27</f>
        <v>18</v>
      </c>
      <c r="G128" s="143">
        <f>$G$27</f>
        <v>163.255</v>
      </c>
      <c r="H128" s="143">
        <f>$H$27</f>
        <v>3.8</v>
      </c>
      <c r="I128" s="17">
        <f>(F128+G128+H128)*$I$3</f>
        <v>18.5055</v>
      </c>
      <c r="J128" s="18">
        <f>ROUND(SUM(F128:I128),2)</f>
        <v>203.56</v>
      </c>
      <c r="K128" s="19">
        <f>ROUND(J128*E128,2)</f>
        <v>3517.92</v>
      </c>
      <c r="L128" s="135"/>
      <c r="M128" s="136"/>
      <c r="N128" s="136"/>
      <c r="O128" s="136"/>
      <c r="P128" s="37">
        <f>Q128+Q128*R128+S128+T128+U128</f>
        <v>185.055</v>
      </c>
      <c r="Q128" s="99">
        <f>$Q$27</f>
        <v>158.5</v>
      </c>
      <c r="R128" s="163">
        <f>$R$27</f>
        <v>0.03</v>
      </c>
      <c r="S128" s="99">
        <f>$S$27</f>
        <v>18</v>
      </c>
      <c r="T128" s="99">
        <f>$T$27</f>
        <v>3.5</v>
      </c>
      <c r="U128" s="99">
        <f>$U$27</f>
        <v>0.3</v>
      </c>
      <c r="V128" s="37">
        <f>P128*E128</f>
        <v>3198.12051</v>
      </c>
      <c r="W128" s="139"/>
      <c r="X128" s="139"/>
      <c r="Y128" s="139"/>
      <c r="Z128" s="139"/>
      <c r="AA128" s="139"/>
      <c r="AB128" s="139"/>
      <c r="AC128" s="140"/>
      <c r="AD128" s="140"/>
    </row>
    <row r="129" s="119" customFormat="1" ht="72" customHeight="1" outlineLevel="2" spans="1:30">
      <c r="A129" s="162">
        <f>1+N(A128)</f>
        <v>4</v>
      </c>
      <c r="B129" s="14" t="s">
        <v>108</v>
      </c>
      <c r="C129" s="15" t="s">
        <v>109</v>
      </c>
      <c r="D129" s="142" t="s">
        <v>70</v>
      </c>
      <c r="E129" s="143">
        <f>5.12*2</f>
        <v>10.24</v>
      </c>
      <c r="F129" s="143">
        <f>$F$28</f>
        <v>30</v>
      </c>
      <c r="G129" s="143">
        <f>$G$28</f>
        <v>65.6625</v>
      </c>
      <c r="H129" s="143">
        <f>$H$28</f>
        <v>2.7</v>
      </c>
      <c r="I129" s="17">
        <f>(F129+G129+H129)*$I$3</f>
        <v>9.83625</v>
      </c>
      <c r="J129" s="18">
        <f>ROUND(SUM(F129:I129),2)</f>
        <v>108.2</v>
      </c>
      <c r="K129" s="19">
        <f>ROUND(J129*E129,2)</f>
        <v>1107.97</v>
      </c>
      <c r="L129" s="135"/>
      <c r="M129" s="136"/>
      <c r="N129" s="136"/>
      <c r="O129" s="136"/>
      <c r="P129" s="37">
        <f>Q129+Q129*R129+S129+T129+U129</f>
        <v>98.3625</v>
      </c>
      <c r="Q129" s="99">
        <f>$Q$28</f>
        <v>63.75</v>
      </c>
      <c r="R129" s="163">
        <f>$R$28</f>
        <v>0.03</v>
      </c>
      <c r="S129" s="99">
        <f>$S$28</f>
        <v>30</v>
      </c>
      <c r="T129" s="99">
        <f>$T$28</f>
        <v>2.5</v>
      </c>
      <c r="U129" s="99">
        <f>$U$28</f>
        <v>0.2</v>
      </c>
      <c r="V129" s="37">
        <f>P129*E129</f>
        <v>1007.232</v>
      </c>
      <c r="W129" s="139"/>
      <c r="X129" s="139"/>
      <c r="Y129" s="139"/>
      <c r="Z129" s="139"/>
      <c r="AA129" s="139"/>
      <c r="AB129" s="139"/>
      <c r="AC129" s="140"/>
      <c r="AD129" s="140"/>
    </row>
    <row r="130" s="119" customFormat="1" ht="72" customHeight="1" outlineLevel="2" spans="1:30">
      <c r="A130" s="162">
        <f>1+N(A129)</f>
        <v>5</v>
      </c>
      <c r="B130" s="14" t="s">
        <v>110</v>
      </c>
      <c r="C130" s="15" t="s">
        <v>111</v>
      </c>
      <c r="D130" s="142" t="s">
        <v>63</v>
      </c>
      <c r="E130" s="143">
        <v>34.044</v>
      </c>
      <c r="F130" s="143">
        <f>$F$29</f>
        <v>45</v>
      </c>
      <c r="G130" s="143">
        <f>$G$29</f>
        <v>85.5</v>
      </c>
      <c r="H130" s="143">
        <f>$H$29</f>
        <v>7.3</v>
      </c>
      <c r="I130" s="17">
        <f>(F130+G130+H130)*$I$3</f>
        <v>13.78</v>
      </c>
      <c r="J130" s="18">
        <f>ROUND(SUM(F130:I130),2)</f>
        <v>151.58</v>
      </c>
      <c r="K130" s="19">
        <f>ROUND(J130*E130,2)</f>
        <v>5160.39</v>
      </c>
      <c r="L130" s="135"/>
      <c r="M130" s="136"/>
      <c r="N130" s="136"/>
      <c r="O130" s="136"/>
      <c r="P130" s="37">
        <f>Q130+Q130*R130+S130+T130+U130</f>
        <v>137.8</v>
      </c>
      <c r="Q130" s="99">
        <f>$Q$29</f>
        <v>85.5</v>
      </c>
      <c r="R130" s="163">
        <f>$R$29</f>
        <v>0</v>
      </c>
      <c r="S130" s="99">
        <f>$S$29</f>
        <v>45</v>
      </c>
      <c r="T130" s="99">
        <f>$T$29</f>
        <v>6.5</v>
      </c>
      <c r="U130" s="99">
        <f>$U$29</f>
        <v>0.8</v>
      </c>
      <c r="V130" s="37">
        <f>P130*E130</f>
        <v>4691.2632</v>
      </c>
      <c r="W130" s="139"/>
      <c r="X130" s="139"/>
      <c r="Y130" s="139"/>
      <c r="Z130" s="139"/>
      <c r="AA130" s="139"/>
      <c r="AB130" s="139"/>
      <c r="AC130" s="140"/>
      <c r="AD130" s="140"/>
    </row>
    <row r="131" s="119" customFormat="1" ht="24" customHeight="1" outlineLevel="1" spans="1:30">
      <c r="A131" s="141"/>
      <c r="B131" s="14" t="s">
        <v>112</v>
      </c>
      <c r="C131" s="15"/>
      <c r="D131" s="142"/>
      <c r="E131" s="143"/>
      <c r="F131" s="143"/>
      <c r="G131" s="143"/>
      <c r="H131" s="143"/>
      <c r="I131" s="143"/>
      <c r="J131" s="143"/>
      <c r="K131" s="144"/>
      <c r="L131" s="135"/>
      <c r="M131" s="136"/>
      <c r="N131" s="136"/>
      <c r="O131" s="136"/>
      <c r="P131" s="137"/>
      <c r="Q131" s="137"/>
      <c r="R131" s="138"/>
      <c r="S131" s="137"/>
      <c r="T131" s="137"/>
      <c r="U131" s="137"/>
      <c r="V131" s="137"/>
      <c r="W131" s="139"/>
      <c r="X131" s="139"/>
      <c r="Y131" s="139"/>
      <c r="Z131" s="139"/>
      <c r="AA131" s="139"/>
      <c r="AB131" s="139"/>
      <c r="AC131" s="140"/>
      <c r="AD131" s="140"/>
    </row>
    <row r="132" s="119" customFormat="1" ht="24" customHeight="1" outlineLevel="1" spans="1:30">
      <c r="A132" s="132" t="s">
        <v>119</v>
      </c>
      <c r="B132" s="8" t="s">
        <v>523</v>
      </c>
      <c r="C132" s="8"/>
      <c r="D132" s="133"/>
      <c r="E132" s="134"/>
      <c r="F132" s="134"/>
      <c r="G132" s="134"/>
      <c r="H132" s="134"/>
      <c r="I132" s="134"/>
      <c r="J132" s="134"/>
      <c r="K132" s="11"/>
      <c r="L132" s="135"/>
      <c r="M132" s="136"/>
      <c r="N132" s="136"/>
      <c r="O132" s="136"/>
      <c r="P132" s="137"/>
      <c r="Q132" s="137"/>
      <c r="R132" s="138"/>
      <c r="S132" s="137"/>
      <c r="T132" s="137"/>
      <c r="U132" s="137"/>
      <c r="V132" s="137"/>
      <c r="W132" s="139"/>
      <c r="X132" s="139"/>
      <c r="Y132" s="139"/>
      <c r="Z132" s="139"/>
      <c r="AA132" s="139"/>
      <c r="AB132" s="139"/>
      <c r="AC132" s="140"/>
      <c r="AD132" s="140"/>
    </row>
    <row r="133" s="119" customFormat="1" ht="24" customHeight="1" outlineLevel="1" spans="1:30">
      <c r="A133" s="141"/>
      <c r="B133" s="14" t="s">
        <v>60</v>
      </c>
      <c r="C133" s="15"/>
      <c r="D133" s="142"/>
      <c r="E133" s="143"/>
      <c r="F133" s="143"/>
      <c r="G133" s="143"/>
      <c r="H133" s="143"/>
      <c r="I133" s="143"/>
      <c r="J133" s="143"/>
      <c r="K133" s="144"/>
      <c r="L133" s="135"/>
      <c r="M133" s="136"/>
      <c r="N133" s="136"/>
      <c r="O133" s="136"/>
      <c r="P133" s="137"/>
      <c r="Q133" s="137"/>
      <c r="R133" s="138"/>
      <c r="S133" s="137"/>
      <c r="T133" s="137"/>
      <c r="U133" s="137"/>
      <c r="V133" s="137"/>
      <c r="W133" s="139"/>
      <c r="X133" s="139"/>
      <c r="Y133" s="139"/>
      <c r="Z133" s="139"/>
      <c r="AA133" s="139"/>
      <c r="AB133" s="139"/>
      <c r="AC133" s="140"/>
      <c r="AD133" s="140"/>
    </row>
    <row r="134" s="119" customFormat="1" ht="96" customHeight="1" outlineLevel="2" spans="1:30">
      <c r="A134" s="162">
        <f>1+N(A133)</f>
        <v>1</v>
      </c>
      <c r="B134" s="14" t="s">
        <v>61</v>
      </c>
      <c r="C134" s="15" t="s">
        <v>62</v>
      </c>
      <c r="D134" s="142" t="s">
        <v>63</v>
      </c>
      <c r="E134" s="143">
        <v>9.212</v>
      </c>
      <c r="F134" s="143">
        <f>$F$7</f>
        <v>130</v>
      </c>
      <c r="G134" s="143">
        <f>$G$7</f>
        <v>628.3</v>
      </c>
      <c r="H134" s="17">
        <f>$H$7</f>
        <v>47.7</v>
      </c>
      <c r="I134" s="17">
        <f>(F134+G134+H134)*$I$3</f>
        <v>80.6</v>
      </c>
      <c r="J134" s="18">
        <f>ROUND(SUM(F134:I134),2)</f>
        <v>886.6</v>
      </c>
      <c r="K134" s="19">
        <f>ROUND(J134*E134,2)</f>
        <v>8167.36</v>
      </c>
      <c r="L134" s="135"/>
      <c r="M134" s="136"/>
      <c r="N134" s="136"/>
      <c r="O134" s="136"/>
      <c r="P134" s="137">
        <f>Q134+Q134*R134+S134+T134+U134</f>
        <v>806</v>
      </c>
      <c r="Q134" s="99">
        <f>$Q$7</f>
        <v>610</v>
      </c>
      <c r="R134" s="163">
        <f>$R$7</f>
        <v>0.03</v>
      </c>
      <c r="S134" s="99">
        <f>$S$7</f>
        <v>130</v>
      </c>
      <c r="T134" s="99">
        <f>$T$7</f>
        <v>46.2</v>
      </c>
      <c r="U134" s="99">
        <f>$U$7</f>
        <v>1.5</v>
      </c>
      <c r="V134" s="37">
        <f>P134*E134</f>
        <v>7424.872</v>
      </c>
      <c r="W134" s="139"/>
      <c r="X134" s="139"/>
      <c r="Y134" s="139"/>
      <c r="Z134" s="139"/>
      <c r="AA134" s="139"/>
      <c r="AB134" s="139"/>
      <c r="AC134" s="140"/>
      <c r="AD134" s="140"/>
    </row>
    <row r="135" s="119" customFormat="1" ht="108" customHeight="1" outlineLevel="2" spans="1:30">
      <c r="A135" s="162">
        <f>1+N(A134)</f>
        <v>2</v>
      </c>
      <c r="B135" s="14" t="s">
        <v>64</v>
      </c>
      <c r="C135" s="15" t="s">
        <v>65</v>
      </c>
      <c r="D135" s="142" t="s">
        <v>63</v>
      </c>
      <c r="E135" s="143">
        <v>11.419</v>
      </c>
      <c r="F135" s="143">
        <f>$F$8</f>
        <v>130</v>
      </c>
      <c r="G135" s="143">
        <f>$G$8</f>
        <v>854.9</v>
      </c>
      <c r="H135" s="143">
        <f>$H$8</f>
        <v>47.7</v>
      </c>
      <c r="I135" s="17">
        <f>(F135+G135+H135)*$I$3</f>
        <v>103.26</v>
      </c>
      <c r="J135" s="18">
        <f>ROUND(SUM(F135:I135),2)</f>
        <v>1135.86</v>
      </c>
      <c r="K135" s="19">
        <f>ROUND(J135*E135,2)</f>
        <v>12970.39</v>
      </c>
      <c r="L135" s="135"/>
      <c r="M135" s="136"/>
      <c r="N135" s="136"/>
      <c r="O135" s="136"/>
      <c r="P135" s="137">
        <f>Q135+Q135*R135+S135+T135+U135</f>
        <v>1032.6</v>
      </c>
      <c r="Q135" s="99">
        <f>$Q$8</f>
        <v>830</v>
      </c>
      <c r="R135" s="163">
        <f>$R$8</f>
        <v>0.03</v>
      </c>
      <c r="S135" s="99">
        <f>$S$8</f>
        <v>130</v>
      </c>
      <c r="T135" s="99">
        <f>$T$8</f>
        <v>46.2</v>
      </c>
      <c r="U135" s="99">
        <f>$U$8</f>
        <v>1.5</v>
      </c>
      <c r="V135" s="37">
        <f>P135*E135</f>
        <v>11791.2594</v>
      </c>
      <c r="W135" s="139"/>
      <c r="X135" s="139"/>
      <c r="Y135" s="139"/>
      <c r="Z135" s="139"/>
      <c r="AA135" s="139"/>
      <c r="AB135" s="139"/>
      <c r="AC135" s="140"/>
      <c r="AD135" s="140"/>
    </row>
    <row r="136" s="119" customFormat="1" ht="36" customHeight="1" outlineLevel="2" spans="1:30">
      <c r="A136" s="162">
        <f>1+N(A135)</f>
        <v>3</v>
      </c>
      <c r="B136" s="14" t="s">
        <v>68</v>
      </c>
      <c r="C136" s="15" t="s">
        <v>69</v>
      </c>
      <c r="D136" s="142" t="s">
        <v>70</v>
      </c>
      <c r="E136" s="143">
        <v>13.326</v>
      </c>
      <c r="F136" s="143">
        <f>$F$9</f>
        <v>12</v>
      </c>
      <c r="G136" s="143">
        <f>$G$9</f>
        <v>19.57</v>
      </c>
      <c r="H136" s="143">
        <f>$H$9</f>
        <v>0.5</v>
      </c>
      <c r="I136" s="17">
        <f>(F136+G136+H136)*$I$3</f>
        <v>3.207</v>
      </c>
      <c r="J136" s="18">
        <f>ROUND(SUM(F136:I136),2)</f>
        <v>35.28</v>
      </c>
      <c r="K136" s="19">
        <f>ROUND(J136*E136,2)</f>
        <v>470.14</v>
      </c>
      <c r="L136" s="135"/>
      <c r="M136" s="136"/>
      <c r="N136" s="136"/>
      <c r="O136" s="136"/>
      <c r="P136" s="37">
        <f>Q136+Q136*R136+S136+T136+U136</f>
        <v>32.07</v>
      </c>
      <c r="Q136" s="99">
        <f>$Q$9</f>
        <v>19</v>
      </c>
      <c r="R136" s="163">
        <f>$R$9</f>
        <v>0.03</v>
      </c>
      <c r="S136" s="99">
        <f>$S$9</f>
        <v>12</v>
      </c>
      <c r="T136" s="99">
        <f>$T$9</f>
        <v>0.3</v>
      </c>
      <c r="U136" s="99">
        <f>$U$9</f>
        <v>0.2</v>
      </c>
      <c r="V136" s="37">
        <f>P136*E136</f>
        <v>427.36482</v>
      </c>
      <c r="W136" s="139"/>
      <c r="X136" s="139"/>
      <c r="Y136" s="139"/>
      <c r="Z136" s="139"/>
      <c r="AA136" s="139"/>
      <c r="AB136" s="139"/>
      <c r="AC136" s="140"/>
      <c r="AD136" s="140"/>
    </row>
    <row r="137" s="119" customFormat="1" ht="48" customHeight="1" outlineLevel="2" spans="1:30">
      <c r="A137" s="162">
        <f>1+N(A136)</f>
        <v>4</v>
      </c>
      <c r="B137" s="14" t="s">
        <v>71</v>
      </c>
      <c r="C137" s="15" t="s">
        <v>72</v>
      </c>
      <c r="D137" s="142" t="s">
        <v>63</v>
      </c>
      <c r="E137" s="143">
        <f>+E134+E135</f>
        <v>20.631</v>
      </c>
      <c r="F137" s="143">
        <f>$F$10</f>
        <v>40</v>
      </c>
      <c r="G137" s="143">
        <f>$G$10</f>
        <v>15</v>
      </c>
      <c r="H137" s="143">
        <f>$H$10</f>
        <v>0.8</v>
      </c>
      <c r="I137" s="17">
        <f>(F137+G137+H137)*$I$3</f>
        <v>5.58</v>
      </c>
      <c r="J137" s="18">
        <f>ROUND(SUM(F137:I137),2)</f>
        <v>61.38</v>
      </c>
      <c r="K137" s="19">
        <f>ROUND(J137*E137,2)</f>
        <v>1266.33</v>
      </c>
      <c r="L137" s="135"/>
      <c r="M137" s="136"/>
      <c r="N137" s="136"/>
      <c r="O137" s="136"/>
      <c r="P137" s="37">
        <f>Q137+Q137*R137+S137+T137+U137</f>
        <v>55.8</v>
      </c>
      <c r="Q137" s="99">
        <f>$Q$10</f>
        <v>15</v>
      </c>
      <c r="R137" s="163">
        <f>$R$10</f>
        <v>0</v>
      </c>
      <c r="S137" s="99">
        <f>$S$10</f>
        <v>40</v>
      </c>
      <c r="T137" s="99">
        <f>$T$10</f>
        <v>0.5</v>
      </c>
      <c r="U137" s="99">
        <f>$U$10</f>
        <v>0.3</v>
      </c>
      <c r="V137" s="37">
        <f>P137*E137</f>
        <v>1151.2098</v>
      </c>
      <c r="W137" s="139"/>
      <c r="X137" s="139"/>
      <c r="Y137" s="139"/>
      <c r="Z137" s="139"/>
      <c r="AA137" s="139"/>
      <c r="AB137" s="139"/>
      <c r="AC137" s="140"/>
      <c r="AD137" s="140"/>
    </row>
    <row r="138" s="119" customFormat="1" ht="24" customHeight="1" outlineLevel="1" spans="1:30">
      <c r="A138" s="141"/>
      <c r="B138" s="14" t="s">
        <v>494</v>
      </c>
      <c r="C138" s="15"/>
      <c r="D138" s="142"/>
      <c r="E138" s="143"/>
      <c r="F138" s="143"/>
      <c r="G138" s="143"/>
      <c r="H138" s="143"/>
      <c r="I138" s="143"/>
      <c r="J138" s="143"/>
      <c r="K138" s="144"/>
      <c r="L138" s="135"/>
      <c r="M138" s="136"/>
      <c r="N138" s="136"/>
      <c r="O138" s="136"/>
      <c r="P138" s="137"/>
      <c r="Q138" s="137"/>
      <c r="R138" s="138"/>
      <c r="S138" s="137"/>
      <c r="T138" s="137"/>
      <c r="U138" s="137"/>
      <c r="V138" s="137"/>
      <c r="W138" s="139"/>
      <c r="X138" s="139"/>
      <c r="Y138" s="139"/>
      <c r="Z138" s="139"/>
      <c r="AA138" s="139"/>
      <c r="AB138" s="139"/>
      <c r="AC138" s="140"/>
      <c r="AD138" s="140"/>
    </row>
    <row r="139" s="119" customFormat="1" ht="72" customHeight="1" outlineLevel="2" spans="1:30">
      <c r="A139" s="162">
        <f t="shared" ref="A139:A147" si="33">1+N(A138)</f>
        <v>1</v>
      </c>
      <c r="B139" s="164" t="s">
        <v>74</v>
      </c>
      <c r="C139" s="15" t="s">
        <v>75</v>
      </c>
      <c r="D139" s="142" t="s">
        <v>63</v>
      </c>
      <c r="E139" s="143">
        <v>8.616</v>
      </c>
      <c r="F139" s="143">
        <f>$F$12</f>
        <v>95</v>
      </c>
      <c r="G139" s="143">
        <f>$G$12</f>
        <v>813.75</v>
      </c>
      <c r="H139" s="143">
        <f>$H$12</f>
        <v>18.3</v>
      </c>
      <c r="I139" s="17">
        <f t="shared" ref="I139:I147" si="34">(F139+G139+H139)*$I$3</f>
        <v>92.705</v>
      </c>
      <c r="J139" s="18">
        <f t="shared" ref="J139:J147" si="35">ROUND(SUM(F139:I139),2)</f>
        <v>1019.76</v>
      </c>
      <c r="K139" s="19">
        <f t="shared" ref="K139:K147" si="36">ROUND(J139*E139,2)</f>
        <v>8786.25</v>
      </c>
      <c r="L139" s="135"/>
      <c r="M139" s="136"/>
      <c r="N139" s="136"/>
      <c r="O139" s="136"/>
      <c r="P139" s="37">
        <f t="shared" ref="P139:P147" si="37">Q139+Q139*R139+S139+T139+U139</f>
        <v>927.05</v>
      </c>
      <c r="Q139" s="99">
        <f>$Q$12</f>
        <v>775</v>
      </c>
      <c r="R139" s="163">
        <f>$R$12</f>
        <v>0.05</v>
      </c>
      <c r="S139" s="99">
        <f>$S$12</f>
        <v>95</v>
      </c>
      <c r="T139" s="99">
        <f>$T$12</f>
        <v>16.8</v>
      </c>
      <c r="U139" s="99">
        <f>$U$12</f>
        <v>1.5</v>
      </c>
      <c r="V139" s="37">
        <f t="shared" ref="V139:V147" si="38">P139*E139</f>
        <v>7987.4628</v>
      </c>
      <c r="W139" s="139"/>
      <c r="X139" s="139"/>
      <c r="Y139" s="139"/>
      <c r="Z139" s="139"/>
      <c r="AA139" s="139"/>
      <c r="AB139" s="139"/>
      <c r="AC139" s="140"/>
      <c r="AD139" s="140"/>
    </row>
    <row r="140" s="119" customFormat="1" ht="96" customHeight="1" outlineLevel="2" spans="1:30">
      <c r="A140" s="162">
        <f t="shared" si="33"/>
        <v>2</v>
      </c>
      <c r="B140" s="165" t="s">
        <v>76</v>
      </c>
      <c r="C140" s="166" t="s">
        <v>77</v>
      </c>
      <c r="D140" s="142" t="s">
        <v>63</v>
      </c>
      <c r="E140" s="143">
        <v>32.545</v>
      </c>
      <c r="F140" s="143">
        <f>$F$13</f>
        <v>145</v>
      </c>
      <c r="G140" s="143">
        <f>$G$13</f>
        <v>651</v>
      </c>
      <c r="H140" s="143">
        <f>$H$13</f>
        <v>113.55</v>
      </c>
      <c r="I140" s="17">
        <f t="shared" si="34"/>
        <v>90.955</v>
      </c>
      <c r="J140" s="18">
        <f t="shared" si="35"/>
        <v>1000.51</v>
      </c>
      <c r="K140" s="19">
        <f t="shared" si="36"/>
        <v>32561.6</v>
      </c>
      <c r="L140" s="135"/>
      <c r="M140" s="136"/>
      <c r="N140" s="136"/>
      <c r="O140" s="136"/>
      <c r="P140" s="37">
        <f t="shared" si="37"/>
        <v>909.55</v>
      </c>
      <c r="Q140" s="99">
        <f>$Q$13</f>
        <v>620</v>
      </c>
      <c r="R140" s="163">
        <f>$R$13</f>
        <v>0.05</v>
      </c>
      <c r="S140" s="99">
        <f>$S$13</f>
        <v>145</v>
      </c>
      <c r="T140" s="99">
        <f>$T$13</f>
        <v>111.75</v>
      </c>
      <c r="U140" s="99">
        <f>$U$13</f>
        <v>1.8</v>
      </c>
      <c r="V140" s="37">
        <f t="shared" si="38"/>
        <v>29601.30475</v>
      </c>
      <c r="W140" s="139"/>
      <c r="X140" s="139"/>
      <c r="Y140" s="139"/>
      <c r="Z140" s="139"/>
      <c r="AA140" s="139"/>
      <c r="AB140" s="139"/>
      <c r="AC140" s="140"/>
      <c r="AD140" s="140"/>
    </row>
    <row r="141" s="119" customFormat="1" ht="60" customHeight="1" outlineLevel="2" spans="1:30">
      <c r="A141" s="162">
        <f t="shared" si="33"/>
        <v>3</v>
      </c>
      <c r="B141" s="14" t="s">
        <v>226</v>
      </c>
      <c r="C141" s="15" t="s">
        <v>225</v>
      </c>
      <c r="D141" s="142" t="s">
        <v>63</v>
      </c>
      <c r="E141" s="143">
        <v>1.901</v>
      </c>
      <c r="F141" s="143">
        <f>$F$14</f>
        <v>35</v>
      </c>
      <c r="G141" s="143">
        <f>$G$14</f>
        <v>346.08</v>
      </c>
      <c r="H141" s="143">
        <f>$H$14</f>
        <v>54.7</v>
      </c>
      <c r="I141" s="17">
        <f t="shared" si="34"/>
        <v>43.578</v>
      </c>
      <c r="J141" s="18">
        <f t="shared" si="35"/>
        <v>479.36</v>
      </c>
      <c r="K141" s="19">
        <f t="shared" si="36"/>
        <v>911.26</v>
      </c>
      <c r="L141" s="135"/>
      <c r="M141" s="136"/>
      <c r="N141" s="136"/>
      <c r="O141" s="136"/>
      <c r="P141" s="37">
        <f t="shared" si="37"/>
        <v>435.78</v>
      </c>
      <c r="Q141" s="99">
        <f>$Q$14</f>
        <v>336</v>
      </c>
      <c r="R141" s="163">
        <f>$R$14</f>
        <v>0.03</v>
      </c>
      <c r="S141" s="99">
        <f>$S$14</f>
        <v>35</v>
      </c>
      <c r="T141" s="99">
        <f>$T$14</f>
        <v>53.5</v>
      </c>
      <c r="U141" s="99">
        <f>$U$14</f>
        <v>1.2</v>
      </c>
      <c r="V141" s="37">
        <f t="shared" si="38"/>
        <v>828.41778</v>
      </c>
      <c r="W141" s="139"/>
      <c r="X141" s="139"/>
      <c r="Y141" s="139"/>
      <c r="Z141" s="139"/>
      <c r="AA141" s="139"/>
      <c r="AB141" s="139"/>
      <c r="AC141" s="140"/>
      <c r="AD141" s="140"/>
    </row>
    <row r="142" s="119" customFormat="1" ht="48" customHeight="1" outlineLevel="2" spans="1:30">
      <c r="A142" s="162">
        <f t="shared" si="33"/>
        <v>4</v>
      </c>
      <c r="B142" s="165" t="s">
        <v>84</v>
      </c>
      <c r="C142" s="166" t="s">
        <v>83</v>
      </c>
      <c r="D142" s="165" t="s">
        <v>63</v>
      </c>
      <c r="E142" s="143">
        <f>0.34*2.5*2*2</f>
        <v>3.4</v>
      </c>
      <c r="F142" s="143">
        <f>$F$17</f>
        <v>110</v>
      </c>
      <c r="G142" s="143">
        <f>$G$17</f>
        <v>454.5</v>
      </c>
      <c r="H142" s="143">
        <f>$H$17</f>
        <v>55.2</v>
      </c>
      <c r="I142" s="17">
        <f t="shared" si="34"/>
        <v>61.97</v>
      </c>
      <c r="J142" s="18">
        <f t="shared" si="35"/>
        <v>681.67</v>
      </c>
      <c r="K142" s="19">
        <f t="shared" si="36"/>
        <v>2317.68</v>
      </c>
      <c r="L142" s="135"/>
      <c r="M142" s="136"/>
      <c r="N142" s="136"/>
      <c r="O142" s="136"/>
      <c r="P142" s="37">
        <f t="shared" si="37"/>
        <v>619.7</v>
      </c>
      <c r="Q142" s="99">
        <f>$Q$17</f>
        <v>450</v>
      </c>
      <c r="R142" s="163">
        <f>$R$17</f>
        <v>0.01</v>
      </c>
      <c r="S142" s="99">
        <f>$S$17</f>
        <v>110</v>
      </c>
      <c r="T142" s="99">
        <f>$T$17</f>
        <v>54</v>
      </c>
      <c r="U142" s="99">
        <f>$U$17</f>
        <v>1.2</v>
      </c>
      <c r="V142" s="37">
        <f t="shared" si="38"/>
        <v>2106.98</v>
      </c>
      <c r="W142" s="139"/>
      <c r="X142" s="139"/>
      <c r="Y142" s="139"/>
      <c r="Z142" s="139"/>
      <c r="AA142" s="139"/>
      <c r="AB142" s="139"/>
      <c r="AC142" s="140"/>
      <c r="AD142" s="140"/>
    </row>
    <row r="143" s="119" customFormat="1" ht="60" customHeight="1" outlineLevel="2" spans="1:30">
      <c r="A143" s="162">
        <f t="shared" si="33"/>
        <v>5</v>
      </c>
      <c r="B143" s="165" t="s">
        <v>85</v>
      </c>
      <c r="C143" s="166" t="s">
        <v>86</v>
      </c>
      <c r="D143" s="165" t="s">
        <v>63</v>
      </c>
      <c r="E143" s="143">
        <f>+(0.061+0.22+0.114+0.074)*0.95*2</f>
        <v>0.8911</v>
      </c>
      <c r="F143" s="143">
        <f>$F$18</f>
        <v>110</v>
      </c>
      <c r="G143" s="143">
        <f>$G$18</f>
        <v>454.5</v>
      </c>
      <c r="H143" s="143">
        <f>$H$18</f>
        <v>55.2</v>
      </c>
      <c r="I143" s="17">
        <f t="shared" si="34"/>
        <v>61.97</v>
      </c>
      <c r="J143" s="18">
        <f t="shared" si="35"/>
        <v>681.67</v>
      </c>
      <c r="K143" s="19">
        <f t="shared" si="36"/>
        <v>607.44</v>
      </c>
      <c r="L143" s="135"/>
      <c r="M143" s="136"/>
      <c r="N143" s="136"/>
      <c r="O143" s="136"/>
      <c r="P143" s="37">
        <f t="shared" si="37"/>
        <v>619.7</v>
      </c>
      <c r="Q143" s="99">
        <f>$Q$18</f>
        <v>450</v>
      </c>
      <c r="R143" s="163">
        <f>$R$18</f>
        <v>0.01</v>
      </c>
      <c r="S143" s="99">
        <f>$S$18</f>
        <v>110</v>
      </c>
      <c r="T143" s="99">
        <f>$T$18</f>
        <v>54</v>
      </c>
      <c r="U143" s="99">
        <f>$U$18</f>
        <v>1.2</v>
      </c>
      <c r="V143" s="37">
        <f t="shared" si="38"/>
        <v>552.21467</v>
      </c>
      <c r="W143" s="139"/>
      <c r="X143" s="139"/>
      <c r="Y143" s="139"/>
      <c r="Z143" s="139"/>
      <c r="AA143" s="139"/>
      <c r="AB143" s="139"/>
      <c r="AC143" s="140"/>
      <c r="AD143" s="140"/>
    </row>
    <row r="144" s="119" customFormat="1" ht="48" customHeight="1" outlineLevel="2" spans="1:30">
      <c r="A144" s="162">
        <f t="shared" si="33"/>
        <v>6</v>
      </c>
      <c r="B144" s="165" t="s">
        <v>87</v>
      </c>
      <c r="C144" s="166" t="s">
        <v>88</v>
      </c>
      <c r="D144" s="165" t="s">
        <v>63</v>
      </c>
      <c r="E144" s="143">
        <v>0.253</v>
      </c>
      <c r="F144" s="143">
        <f>$F$19</f>
        <v>110</v>
      </c>
      <c r="G144" s="143">
        <f>$G$19</f>
        <v>454.5</v>
      </c>
      <c r="H144" s="143">
        <f>$H$19</f>
        <v>55.2</v>
      </c>
      <c r="I144" s="17">
        <f t="shared" si="34"/>
        <v>61.97</v>
      </c>
      <c r="J144" s="18">
        <f t="shared" si="35"/>
        <v>681.67</v>
      </c>
      <c r="K144" s="19">
        <f t="shared" si="36"/>
        <v>172.46</v>
      </c>
      <c r="L144" s="135"/>
      <c r="M144" s="136"/>
      <c r="N144" s="136"/>
      <c r="O144" s="136"/>
      <c r="P144" s="37">
        <f t="shared" si="37"/>
        <v>619.7</v>
      </c>
      <c r="Q144" s="99">
        <f>$Q$19</f>
        <v>450</v>
      </c>
      <c r="R144" s="163">
        <f>$R$19</f>
        <v>0.01</v>
      </c>
      <c r="S144" s="99">
        <f>$S$19</f>
        <v>110</v>
      </c>
      <c r="T144" s="99">
        <f>$T$19</f>
        <v>54</v>
      </c>
      <c r="U144" s="99">
        <f>$U$19</f>
        <v>1.2</v>
      </c>
      <c r="V144" s="37">
        <f t="shared" si="38"/>
        <v>156.7841</v>
      </c>
      <c r="W144" s="139"/>
      <c r="X144" s="139"/>
      <c r="Y144" s="139"/>
      <c r="Z144" s="139"/>
      <c r="AA144" s="139"/>
      <c r="AB144" s="139"/>
      <c r="AC144" s="140"/>
      <c r="AD144" s="140"/>
    </row>
    <row r="145" s="119" customFormat="1" ht="48" customHeight="1" outlineLevel="2" spans="1:30">
      <c r="A145" s="162">
        <f t="shared" si="33"/>
        <v>7</v>
      </c>
      <c r="B145" s="165" t="s">
        <v>91</v>
      </c>
      <c r="C145" s="166" t="s">
        <v>92</v>
      </c>
      <c r="D145" s="165" t="s">
        <v>70</v>
      </c>
      <c r="E145" s="143">
        <v>17.886</v>
      </c>
      <c r="F145" s="143">
        <f>$F$20</f>
        <v>12</v>
      </c>
      <c r="G145" s="143">
        <f>$G$20</f>
        <v>25.75</v>
      </c>
      <c r="H145" s="143">
        <f>$H$20</f>
        <v>3.8</v>
      </c>
      <c r="I145" s="17">
        <f t="shared" si="34"/>
        <v>4.155</v>
      </c>
      <c r="J145" s="18">
        <f t="shared" si="35"/>
        <v>45.71</v>
      </c>
      <c r="K145" s="19">
        <f t="shared" si="36"/>
        <v>817.57</v>
      </c>
      <c r="L145" s="135"/>
      <c r="M145" s="136"/>
      <c r="N145" s="136"/>
      <c r="O145" s="136"/>
      <c r="P145" s="37">
        <f t="shared" si="37"/>
        <v>41.55</v>
      </c>
      <c r="Q145" s="99">
        <f>$Q$20</f>
        <v>25</v>
      </c>
      <c r="R145" s="163">
        <f>$R$20</f>
        <v>0.03</v>
      </c>
      <c r="S145" s="99">
        <f>$S$20</f>
        <v>12</v>
      </c>
      <c r="T145" s="99">
        <f>$T$20</f>
        <v>3.5</v>
      </c>
      <c r="U145" s="99">
        <f>$U$20</f>
        <v>0.3</v>
      </c>
      <c r="V145" s="37">
        <f t="shared" si="38"/>
        <v>743.1633</v>
      </c>
      <c r="W145" s="139"/>
      <c r="X145" s="139"/>
      <c r="Y145" s="139"/>
      <c r="Z145" s="139"/>
      <c r="AA145" s="139"/>
      <c r="AB145" s="139"/>
      <c r="AC145" s="140"/>
      <c r="AD145" s="140"/>
    </row>
    <row r="146" s="119" customFormat="1" ht="48" customHeight="1" outlineLevel="2" spans="1:30">
      <c r="A146" s="162">
        <f t="shared" si="33"/>
        <v>8</v>
      </c>
      <c r="B146" s="165" t="s">
        <v>97</v>
      </c>
      <c r="C146" s="166" t="s">
        <v>98</v>
      </c>
      <c r="D146" s="165" t="s">
        <v>70</v>
      </c>
      <c r="E146" s="143">
        <v>15.25</v>
      </c>
      <c r="F146" s="143">
        <f>$F$22</f>
        <v>22</v>
      </c>
      <c r="G146" s="143">
        <f>$G$22</f>
        <v>58.195</v>
      </c>
      <c r="H146" s="143">
        <f>$H$22</f>
        <v>6.3</v>
      </c>
      <c r="I146" s="17">
        <f t="shared" si="34"/>
        <v>8.6495</v>
      </c>
      <c r="J146" s="18">
        <f t="shared" si="35"/>
        <v>95.14</v>
      </c>
      <c r="K146" s="19">
        <f t="shared" si="36"/>
        <v>1450.89</v>
      </c>
      <c r="L146" s="135"/>
      <c r="M146" s="136"/>
      <c r="N146" s="136"/>
      <c r="O146" s="136"/>
      <c r="P146" s="37">
        <f t="shared" si="37"/>
        <v>86.495</v>
      </c>
      <c r="Q146" s="99">
        <f>$Q$22</f>
        <v>56.5</v>
      </c>
      <c r="R146" s="163">
        <f>$R$22</f>
        <v>0.03</v>
      </c>
      <c r="S146" s="99">
        <f>$S$22</f>
        <v>22</v>
      </c>
      <c r="T146" s="99">
        <f>$T$22</f>
        <v>6</v>
      </c>
      <c r="U146" s="99">
        <f>$U$22</f>
        <v>0.3</v>
      </c>
      <c r="V146" s="37">
        <f t="shared" si="38"/>
        <v>1319.04875</v>
      </c>
      <c r="W146" s="139"/>
      <c r="X146" s="139"/>
      <c r="Y146" s="139"/>
      <c r="Z146" s="139"/>
      <c r="AA146" s="139"/>
      <c r="AB146" s="139"/>
      <c r="AC146" s="140"/>
      <c r="AD146" s="140"/>
    </row>
    <row r="147" s="119" customFormat="1" ht="48" customHeight="1" outlineLevel="2" spans="1:30">
      <c r="A147" s="162">
        <f t="shared" si="33"/>
        <v>9</v>
      </c>
      <c r="B147" s="165" t="s">
        <v>99</v>
      </c>
      <c r="C147" s="166" t="s">
        <v>100</v>
      </c>
      <c r="D147" s="165" t="s">
        <v>70</v>
      </c>
      <c r="E147" s="143">
        <v>18.663</v>
      </c>
      <c r="F147" s="143">
        <f>$F$23</f>
        <v>12</v>
      </c>
      <c r="G147" s="143">
        <f>$G$23</f>
        <v>23.4325</v>
      </c>
      <c r="H147" s="143">
        <f>$H$23</f>
        <v>3.8</v>
      </c>
      <c r="I147" s="17">
        <f t="shared" si="34"/>
        <v>3.92325</v>
      </c>
      <c r="J147" s="18">
        <f t="shared" si="35"/>
        <v>43.16</v>
      </c>
      <c r="K147" s="19">
        <f t="shared" si="36"/>
        <v>805.5</v>
      </c>
      <c r="L147" s="135"/>
      <c r="M147" s="136"/>
      <c r="N147" s="136"/>
      <c r="O147" s="136"/>
      <c r="P147" s="37">
        <f t="shared" si="37"/>
        <v>39.2325</v>
      </c>
      <c r="Q147" s="99">
        <f>$Q$23</f>
        <v>22.75</v>
      </c>
      <c r="R147" s="163">
        <f>$R$23</f>
        <v>0.03</v>
      </c>
      <c r="S147" s="99">
        <f>$S$23</f>
        <v>12</v>
      </c>
      <c r="T147" s="99">
        <f>$T$23</f>
        <v>3.5</v>
      </c>
      <c r="U147" s="99">
        <f>$U$23</f>
        <v>0.3</v>
      </c>
      <c r="V147" s="37">
        <f t="shared" si="38"/>
        <v>732.1961475</v>
      </c>
      <c r="W147" s="139"/>
      <c r="X147" s="139"/>
      <c r="Y147" s="139"/>
      <c r="Z147" s="139"/>
      <c r="AA147" s="139"/>
      <c r="AB147" s="139"/>
      <c r="AC147" s="140"/>
      <c r="AD147" s="140"/>
    </row>
    <row r="148" s="119" customFormat="1" ht="24" customHeight="1" outlineLevel="1" spans="1:30">
      <c r="A148" s="141"/>
      <c r="B148" s="14" t="s">
        <v>101</v>
      </c>
      <c r="C148" s="15"/>
      <c r="D148" s="142"/>
      <c r="E148" s="143"/>
      <c r="F148" s="143"/>
      <c r="G148" s="143"/>
      <c r="H148" s="143"/>
      <c r="I148" s="143"/>
      <c r="J148" s="143"/>
      <c r="K148" s="144"/>
      <c r="L148" s="135"/>
      <c r="M148" s="136"/>
      <c r="N148" s="136"/>
      <c r="O148" s="136"/>
      <c r="P148" s="137"/>
      <c r="Q148" s="137"/>
      <c r="R148" s="138"/>
      <c r="S148" s="137"/>
      <c r="T148" s="137"/>
      <c r="U148" s="137"/>
      <c r="V148" s="137"/>
      <c r="W148" s="139"/>
      <c r="X148" s="139"/>
      <c r="Y148" s="139"/>
      <c r="Z148" s="139"/>
      <c r="AA148" s="139"/>
      <c r="AB148" s="139"/>
      <c r="AC148" s="140"/>
      <c r="AD148" s="140"/>
    </row>
    <row r="149" s="119" customFormat="1" ht="96" customHeight="1" outlineLevel="2" spans="1:30">
      <c r="A149" s="162">
        <f>1+N(A148)</f>
        <v>1</v>
      </c>
      <c r="B149" s="14" t="s">
        <v>460</v>
      </c>
      <c r="C149" s="167" t="s">
        <v>103</v>
      </c>
      <c r="D149" s="142" t="s">
        <v>63</v>
      </c>
      <c r="E149" s="143">
        <v>21.318</v>
      </c>
      <c r="F149" s="143">
        <f>$F$25</f>
        <v>70</v>
      </c>
      <c r="G149" s="143">
        <f>$G$25</f>
        <v>0</v>
      </c>
      <c r="H149" s="143">
        <f>$H$25</f>
        <v>66.711</v>
      </c>
      <c r="I149" s="17">
        <f>(F149+G149+H149)*$I$3</f>
        <v>13.6711</v>
      </c>
      <c r="J149" s="18">
        <f>ROUND(SUM(F149:I149),2)</f>
        <v>150.38</v>
      </c>
      <c r="K149" s="19">
        <f>ROUND(J149*E149,2)</f>
        <v>3205.8</v>
      </c>
      <c r="L149" s="135"/>
      <c r="M149" s="136"/>
      <c r="N149" s="136"/>
      <c r="O149" s="136"/>
      <c r="P149" s="37">
        <f>Q149+Q149*R149+S149+T149+U149</f>
        <v>136.711</v>
      </c>
      <c r="Q149" s="99">
        <f>$Q$25</f>
        <v>0</v>
      </c>
      <c r="R149" s="163">
        <f>$R$25</f>
        <v>0.01</v>
      </c>
      <c r="S149" s="99">
        <f>$S$25</f>
        <v>70</v>
      </c>
      <c r="T149" s="99">
        <f>$T$25</f>
        <v>64.711</v>
      </c>
      <c r="U149" s="99">
        <f>$U$25</f>
        <v>2</v>
      </c>
      <c r="V149" s="37">
        <f>P149*E149</f>
        <v>2914.405098</v>
      </c>
      <c r="W149" s="139"/>
      <c r="X149" s="139"/>
      <c r="Y149" s="139"/>
      <c r="Z149" s="139"/>
      <c r="AA149" s="139"/>
      <c r="AB149" s="139"/>
      <c r="AC149" s="140"/>
      <c r="AD149" s="140"/>
    </row>
    <row r="150" s="119" customFormat="1" ht="72" customHeight="1" outlineLevel="2" spans="1:30">
      <c r="A150" s="162">
        <f>1+N(A149)</f>
        <v>2</v>
      </c>
      <c r="B150" s="14" t="s">
        <v>104</v>
      </c>
      <c r="C150" s="167" t="s">
        <v>105</v>
      </c>
      <c r="D150" s="142" t="s">
        <v>70</v>
      </c>
      <c r="E150" s="143">
        <v>13.342</v>
      </c>
      <c r="F150" s="143">
        <f>$F$127</f>
        <v>50</v>
      </c>
      <c r="G150" s="143">
        <f>$G$127</f>
        <v>0</v>
      </c>
      <c r="H150" s="143">
        <f>$H$127</f>
        <v>22.0941</v>
      </c>
      <c r="I150" s="17">
        <f>(F150+G150+H150)*$I$3</f>
        <v>7.20941</v>
      </c>
      <c r="J150" s="18">
        <f>ROUND(SUM(F150:I150),2)</f>
        <v>79.3</v>
      </c>
      <c r="K150" s="19">
        <f>ROUND(J150*E150,2)</f>
        <v>1058.02</v>
      </c>
      <c r="L150" s="135"/>
      <c r="M150" s="136"/>
      <c r="N150" s="136"/>
      <c r="O150" s="136"/>
      <c r="P150" s="37">
        <f>Q150+Q150*R150+S150+T150+U150</f>
        <v>72.0941</v>
      </c>
      <c r="Q150" s="99">
        <f>$Q$127</f>
        <v>0</v>
      </c>
      <c r="R150" s="163">
        <f>$R$127</f>
        <v>0.01</v>
      </c>
      <c r="S150" s="99">
        <f>$S$127</f>
        <v>50</v>
      </c>
      <c r="T150" s="99">
        <f>$T$127</f>
        <v>22.0941</v>
      </c>
      <c r="U150" s="99">
        <f>$U$127</f>
        <v>0</v>
      </c>
      <c r="V150" s="37">
        <f>P150*E150</f>
        <v>961.8794822</v>
      </c>
      <c r="W150" s="139"/>
      <c r="X150" s="139"/>
      <c r="Y150" s="139"/>
      <c r="Z150" s="139"/>
      <c r="AA150" s="139"/>
      <c r="AB150" s="139"/>
      <c r="AC150" s="140"/>
      <c r="AD150" s="140"/>
    </row>
    <row r="151" s="119" customFormat="1" ht="72" customHeight="1" outlineLevel="2" spans="1:30">
      <c r="A151" s="162">
        <f>1+N(A150)</f>
        <v>3</v>
      </c>
      <c r="B151" s="14" t="s">
        <v>106</v>
      </c>
      <c r="C151" s="15" t="s">
        <v>107</v>
      </c>
      <c r="D151" s="142" t="s">
        <v>70</v>
      </c>
      <c r="E151" s="143">
        <v>13.342</v>
      </c>
      <c r="F151" s="143">
        <f>$F$27</f>
        <v>18</v>
      </c>
      <c r="G151" s="143">
        <f>$G$27</f>
        <v>163.255</v>
      </c>
      <c r="H151" s="143">
        <f>$H$27</f>
        <v>3.8</v>
      </c>
      <c r="I151" s="17">
        <f>(F151+G151+H151)*$I$3</f>
        <v>18.5055</v>
      </c>
      <c r="J151" s="18">
        <f>ROUND(SUM(F151:I151),2)</f>
        <v>203.56</v>
      </c>
      <c r="K151" s="19">
        <f>ROUND(J151*E151,2)</f>
        <v>2715.9</v>
      </c>
      <c r="L151" s="135"/>
      <c r="M151" s="136"/>
      <c r="N151" s="136"/>
      <c r="O151" s="136"/>
      <c r="P151" s="37">
        <f>Q151+Q151*R151+S151+T151+U151</f>
        <v>185.055</v>
      </c>
      <c r="Q151" s="99">
        <f>$Q$27</f>
        <v>158.5</v>
      </c>
      <c r="R151" s="163">
        <f>$R$27</f>
        <v>0.03</v>
      </c>
      <c r="S151" s="99">
        <f>$S$27</f>
        <v>18</v>
      </c>
      <c r="T151" s="99">
        <f>$T$27</f>
        <v>3.5</v>
      </c>
      <c r="U151" s="99">
        <f>$U$27</f>
        <v>0.3</v>
      </c>
      <c r="V151" s="37">
        <f>P151*E151</f>
        <v>2469.00381</v>
      </c>
      <c r="W151" s="139"/>
      <c r="X151" s="139"/>
      <c r="Y151" s="139"/>
      <c r="Z151" s="139"/>
      <c r="AA151" s="139"/>
      <c r="AB151" s="139"/>
      <c r="AC151" s="140"/>
      <c r="AD151" s="140"/>
    </row>
    <row r="152" s="119" customFormat="1" ht="72" customHeight="1" outlineLevel="2" spans="1:30">
      <c r="A152" s="162">
        <f>1+N(A151)</f>
        <v>4</v>
      </c>
      <c r="B152" s="14" t="s">
        <v>108</v>
      </c>
      <c r="C152" s="15" t="s">
        <v>109</v>
      </c>
      <c r="D152" s="142" t="s">
        <v>70</v>
      </c>
      <c r="E152" s="143">
        <f>3.8*2</f>
        <v>7.6</v>
      </c>
      <c r="F152" s="143">
        <f>$F$28</f>
        <v>30</v>
      </c>
      <c r="G152" s="143">
        <f>$G$28</f>
        <v>65.6625</v>
      </c>
      <c r="H152" s="143">
        <f>$H$28</f>
        <v>2.7</v>
      </c>
      <c r="I152" s="17">
        <f>(F152+G152+H152)*$I$3</f>
        <v>9.83625</v>
      </c>
      <c r="J152" s="18">
        <f>ROUND(SUM(F152:I152),2)</f>
        <v>108.2</v>
      </c>
      <c r="K152" s="19">
        <f>ROUND(J152*E152,2)</f>
        <v>822.32</v>
      </c>
      <c r="L152" s="135"/>
      <c r="M152" s="136"/>
      <c r="N152" s="136"/>
      <c r="O152" s="136"/>
      <c r="P152" s="37">
        <f>Q152+Q152*R152+S152+T152+U152</f>
        <v>98.3625</v>
      </c>
      <c r="Q152" s="99">
        <f>$Q$28</f>
        <v>63.75</v>
      </c>
      <c r="R152" s="163">
        <f>$R$28</f>
        <v>0.03</v>
      </c>
      <c r="S152" s="99">
        <f>$S$28</f>
        <v>30</v>
      </c>
      <c r="T152" s="99">
        <f>$T$28</f>
        <v>2.5</v>
      </c>
      <c r="U152" s="99">
        <f>$U$28</f>
        <v>0.2</v>
      </c>
      <c r="V152" s="37">
        <f>P152*E152</f>
        <v>747.555</v>
      </c>
      <c r="W152" s="139"/>
      <c r="X152" s="139"/>
      <c r="Y152" s="139"/>
      <c r="Z152" s="139"/>
      <c r="AA152" s="139"/>
      <c r="AB152" s="139"/>
      <c r="AC152" s="140"/>
      <c r="AD152" s="140"/>
    </row>
    <row r="153" s="119" customFormat="1" ht="72" customHeight="1" outlineLevel="2" spans="1:30">
      <c r="A153" s="162">
        <f>1+N(A152)</f>
        <v>5</v>
      </c>
      <c r="B153" s="14" t="s">
        <v>110</v>
      </c>
      <c r="C153" s="15" t="s">
        <v>111</v>
      </c>
      <c r="D153" s="142" t="s">
        <v>63</v>
      </c>
      <c r="E153" s="143">
        <v>25.896</v>
      </c>
      <c r="F153" s="143">
        <f>$F$29</f>
        <v>45</v>
      </c>
      <c r="G153" s="143">
        <f>$G$29</f>
        <v>85.5</v>
      </c>
      <c r="H153" s="143">
        <f>$H$29</f>
        <v>7.3</v>
      </c>
      <c r="I153" s="17">
        <f>(F153+G153+H153)*$I$3</f>
        <v>13.78</v>
      </c>
      <c r="J153" s="18">
        <f>ROUND(SUM(F153:I153),2)</f>
        <v>151.58</v>
      </c>
      <c r="K153" s="19">
        <f>ROUND(J153*E153,2)</f>
        <v>3925.32</v>
      </c>
      <c r="L153" s="135"/>
      <c r="M153" s="136"/>
      <c r="N153" s="136"/>
      <c r="O153" s="136"/>
      <c r="P153" s="37">
        <f>Q153+Q153*R153+S153+T153+U153</f>
        <v>137.8</v>
      </c>
      <c r="Q153" s="99">
        <f>$Q$29</f>
        <v>85.5</v>
      </c>
      <c r="R153" s="163">
        <f>$R$29</f>
        <v>0</v>
      </c>
      <c r="S153" s="99">
        <f>$S$29</f>
        <v>45</v>
      </c>
      <c r="T153" s="99">
        <f>$T$29</f>
        <v>6.5</v>
      </c>
      <c r="U153" s="99">
        <f>$U$29</f>
        <v>0.8</v>
      </c>
      <c r="V153" s="37">
        <f>P153*E153</f>
        <v>3568.4688</v>
      </c>
      <c r="W153" s="139"/>
      <c r="X153" s="139"/>
      <c r="Y153" s="139"/>
      <c r="Z153" s="139"/>
      <c r="AA153" s="139"/>
      <c r="AB153" s="139"/>
      <c r="AC153" s="140"/>
      <c r="AD153" s="140"/>
    </row>
    <row r="154" s="119" customFormat="1" ht="24" customHeight="1" outlineLevel="1" spans="1:30">
      <c r="A154" s="141"/>
      <c r="B154" s="14" t="s">
        <v>112</v>
      </c>
      <c r="C154" s="15"/>
      <c r="D154" s="142"/>
      <c r="E154" s="143"/>
      <c r="F154" s="143"/>
      <c r="G154" s="143"/>
      <c r="H154" s="143"/>
      <c r="I154" s="143"/>
      <c r="J154" s="143"/>
      <c r="K154" s="144"/>
      <c r="L154" s="135"/>
      <c r="M154" s="136"/>
      <c r="N154" s="136"/>
      <c r="O154" s="136"/>
      <c r="P154" s="137"/>
      <c r="Q154" s="137"/>
      <c r="R154" s="138"/>
      <c r="S154" s="137"/>
      <c r="T154" s="137"/>
      <c r="U154" s="137"/>
      <c r="V154" s="137"/>
      <c r="W154" s="139"/>
      <c r="X154" s="139"/>
      <c r="Y154" s="139"/>
      <c r="Z154" s="139"/>
      <c r="AA154" s="139"/>
      <c r="AB154" s="139"/>
      <c r="AC154" s="140"/>
      <c r="AD154" s="140"/>
    </row>
    <row r="155" s="119" customFormat="1" ht="24" customHeight="1" outlineLevel="1" spans="1:30">
      <c r="A155" s="132" t="s">
        <v>127</v>
      </c>
      <c r="B155" s="8" t="s">
        <v>524</v>
      </c>
      <c r="C155" s="8"/>
      <c r="D155" s="133"/>
      <c r="E155" s="134"/>
      <c r="F155" s="134"/>
      <c r="G155" s="134"/>
      <c r="H155" s="134"/>
      <c r="I155" s="134"/>
      <c r="J155" s="134"/>
      <c r="K155" s="11"/>
      <c r="L155" s="135"/>
      <c r="M155" s="136"/>
      <c r="N155" s="136"/>
      <c r="O155" s="136"/>
      <c r="P155" s="137"/>
      <c r="Q155" s="137"/>
      <c r="R155" s="138"/>
      <c r="S155" s="137"/>
      <c r="T155" s="137"/>
      <c r="U155" s="137"/>
      <c r="V155" s="137"/>
      <c r="W155" s="139"/>
      <c r="X155" s="139"/>
      <c r="Y155" s="139"/>
      <c r="Z155" s="139"/>
      <c r="AA155" s="139"/>
      <c r="AB155" s="139"/>
      <c r="AC155" s="140"/>
      <c r="AD155" s="140"/>
    </row>
    <row r="156" s="119" customFormat="1" ht="24" customHeight="1" outlineLevel="1" spans="1:30">
      <c r="A156" s="141"/>
      <c r="B156" s="14" t="s">
        <v>60</v>
      </c>
      <c r="C156" s="15"/>
      <c r="D156" s="142"/>
      <c r="E156" s="143"/>
      <c r="F156" s="143"/>
      <c r="G156" s="143"/>
      <c r="H156" s="143"/>
      <c r="I156" s="143"/>
      <c r="J156" s="143"/>
      <c r="K156" s="144"/>
      <c r="L156" s="135"/>
      <c r="M156" s="136"/>
      <c r="N156" s="136"/>
      <c r="O156" s="136"/>
      <c r="P156" s="137"/>
      <c r="Q156" s="137"/>
      <c r="R156" s="138"/>
      <c r="S156" s="137"/>
      <c r="T156" s="137"/>
      <c r="U156" s="137"/>
      <c r="V156" s="137"/>
      <c r="W156" s="139"/>
      <c r="X156" s="139"/>
      <c r="Y156" s="139"/>
      <c r="Z156" s="139"/>
      <c r="AA156" s="139"/>
      <c r="AB156" s="139"/>
      <c r="AC156" s="140"/>
      <c r="AD156" s="140"/>
    </row>
    <row r="157" s="119" customFormat="1" ht="96" customHeight="1" outlineLevel="2" spans="1:30">
      <c r="A157" s="162">
        <f>1+N(A156)</f>
        <v>1</v>
      </c>
      <c r="B157" s="14" t="s">
        <v>61</v>
      </c>
      <c r="C157" s="15" t="s">
        <v>62</v>
      </c>
      <c r="D157" s="142" t="s">
        <v>63</v>
      </c>
      <c r="E157" s="143">
        <f>9.75+1.339+0.871</f>
        <v>11.96</v>
      </c>
      <c r="F157" s="143">
        <f>$F$7</f>
        <v>130</v>
      </c>
      <c r="G157" s="143">
        <f>$G$7</f>
        <v>628.3</v>
      </c>
      <c r="H157" s="17">
        <f>$H$7</f>
        <v>47.7</v>
      </c>
      <c r="I157" s="17">
        <f>(F157+G157+H157)*$I$3</f>
        <v>80.6</v>
      </c>
      <c r="J157" s="18">
        <f>ROUND(SUM(F157:I157),2)</f>
        <v>886.6</v>
      </c>
      <c r="K157" s="19">
        <f>ROUND(J157*E157,2)</f>
        <v>10603.74</v>
      </c>
      <c r="L157" s="135"/>
      <c r="M157" s="136"/>
      <c r="N157" s="136"/>
      <c r="O157" s="136"/>
      <c r="P157" s="137">
        <f>Q157+Q157*R157+S157+T157+U157</f>
        <v>806</v>
      </c>
      <c r="Q157" s="99">
        <f>$Q$7</f>
        <v>610</v>
      </c>
      <c r="R157" s="163">
        <f>$R$7</f>
        <v>0.03</v>
      </c>
      <c r="S157" s="99">
        <f>$S$7</f>
        <v>130</v>
      </c>
      <c r="T157" s="99">
        <f>$T$7</f>
        <v>46.2</v>
      </c>
      <c r="U157" s="99">
        <f>$U$7</f>
        <v>1.5</v>
      </c>
      <c r="V157" s="37">
        <f>P157*E157</f>
        <v>9639.76</v>
      </c>
      <c r="W157" s="139"/>
      <c r="X157" s="139"/>
      <c r="Y157" s="139"/>
      <c r="Z157" s="139"/>
      <c r="AA157" s="139"/>
      <c r="AB157" s="139"/>
      <c r="AC157" s="140"/>
      <c r="AD157" s="140"/>
    </row>
    <row r="158" s="119" customFormat="1" ht="108" customHeight="1" outlineLevel="2" spans="1:30">
      <c r="A158" s="162">
        <f>1+N(A157)</f>
        <v>2</v>
      </c>
      <c r="B158" s="14" t="s">
        <v>64</v>
      </c>
      <c r="C158" s="15" t="s">
        <v>65</v>
      </c>
      <c r="D158" s="142" t="s">
        <v>63</v>
      </c>
      <c r="E158" s="143">
        <v>14.838</v>
      </c>
      <c r="F158" s="143">
        <f>$F$8</f>
        <v>130</v>
      </c>
      <c r="G158" s="143">
        <f>$G$8</f>
        <v>854.9</v>
      </c>
      <c r="H158" s="143">
        <f>$H$8</f>
        <v>47.7</v>
      </c>
      <c r="I158" s="17">
        <f>(F158+G158+H158)*$I$3</f>
        <v>103.26</v>
      </c>
      <c r="J158" s="18">
        <f>ROUND(SUM(F158:I158),2)</f>
        <v>1135.86</v>
      </c>
      <c r="K158" s="19">
        <f>ROUND(J158*E158,2)</f>
        <v>16853.89</v>
      </c>
      <c r="L158" s="135"/>
      <c r="M158" s="136"/>
      <c r="N158" s="136"/>
      <c r="O158" s="136"/>
      <c r="P158" s="137">
        <f>Q158+Q158*R158+S158+T158+U158</f>
        <v>1032.6</v>
      </c>
      <c r="Q158" s="99">
        <f>$Q$8</f>
        <v>830</v>
      </c>
      <c r="R158" s="163">
        <f>$R$8</f>
        <v>0.03</v>
      </c>
      <c r="S158" s="99">
        <f>$S$8</f>
        <v>130</v>
      </c>
      <c r="T158" s="99">
        <f>$T$8</f>
        <v>46.2</v>
      </c>
      <c r="U158" s="99">
        <f>$U$8</f>
        <v>1.5</v>
      </c>
      <c r="V158" s="37">
        <f>P158*E158</f>
        <v>15321.7188</v>
      </c>
      <c r="W158" s="139"/>
      <c r="X158" s="139"/>
      <c r="Y158" s="139"/>
      <c r="Z158" s="139"/>
      <c r="AA158" s="139"/>
      <c r="AB158" s="139"/>
      <c r="AC158" s="140"/>
      <c r="AD158" s="140"/>
    </row>
    <row r="159" s="119" customFormat="1" ht="36" customHeight="1" outlineLevel="2" spans="1:30">
      <c r="A159" s="162">
        <f>1+N(A158)</f>
        <v>3</v>
      </c>
      <c r="B159" s="14" t="s">
        <v>68</v>
      </c>
      <c r="C159" s="15" t="s">
        <v>69</v>
      </c>
      <c r="D159" s="142" t="s">
        <v>70</v>
      </c>
      <c r="E159" s="143">
        <v>15.966</v>
      </c>
      <c r="F159" s="143">
        <f>$F$9</f>
        <v>12</v>
      </c>
      <c r="G159" s="143">
        <f>$G$9</f>
        <v>19.57</v>
      </c>
      <c r="H159" s="143">
        <f>$H$9</f>
        <v>0.5</v>
      </c>
      <c r="I159" s="17">
        <f>(F159+G159+H159)*$I$3</f>
        <v>3.207</v>
      </c>
      <c r="J159" s="18">
        <f>ROUND(SUM(F159:I159),2)</f>
        <v>35.28</v>
      </c>
      <c r="K159" s="19">
        <f>ROUND(J159*E159,2)</f>
        <v>563.28</v>
      </c>
      <c r="L159" s="135"/>
      <c r="M159" s="136"/>
      <c r="N159" s="136"/>
      <c r="O159" s="136"/>
      <c r="P159" s="37">
        <f>Q159+Q159*R159+S159+T159+U159</f>
        <v>32.07</v>
      </c>
      <c r="Q159" s="99">
        <f>$Q$9</f>
        <v>19</v>
      </c>
      <c r="R159" s="163">
        <f>$R$9</f>
        <v>0.03</v>
      </c>
      <c r="S159" s="99">
        <f>$S$9</f>
        <v>12</v>
      </c>
      <c r="T159" s="99">
        <f>$T$9</f>
        <v>0.3</v>
      </c>
      <c r="U159" s="99">
        <f>$U$9</f>
        <v>0.2</v>
      </c>
      <c r="V159" s="37">
        <f>P159*E159</f>
        <v>512.02962</v>
      </c>
      <c r="W159" s="139"/>
      <c r="X159" s="139"/>
      <c r="Y159" s="139"/>
      <c r="Z159" s="139"/>
      <c r="AA159" s="139"/>
      <c r="AB159" s="139"/>
      <c r="AC159" s="140"/>
      <c r="AD159" s="140"/>
    </row>
    <row r="160" s="119" customFormat="1" ht="48" customHeight="1" outlineLevel="2" spans="1:30">
      <c r="A160" s="162">
        <f>1+N(A159)</f>
        <v>4</v>
      </c>
      <c r="B160" s="14" t="s">
        <v>71</v>
      </c>
      <c r="C160" s="15" t="s">
        <v>72</v>
      </c>
      <c r="D160" s="142" t="s">
        <v>63</v>
      </c>
      <c r="E160" s="143">
        <f>+E157+E158</f>
        <v>26.798</v>
      </c>
      <c r="F160" s="143">
        <f>$F$10</f>
        <v>40</v>
      </c>
      <c r="G160" s="143">
        <f>$G$10</f>
        <v>15</v>
      </c>
      <c r="H160" s="143">
        <f>$H$10</f>
        <v>0.8</v>
      </c>
      <c r="I160" s="17">
        <f>(F160+G160+H160)*$I$3</f>
        <v>5.58</v>
      </c>
      <c r="J160" s="18">
        <f>ROUND(SUM(F160:I160),2)</f>
        <v>61.38</v>
      </c>
      <c r="K160" s="19">
        <f>ROUND(J160*E160,2)</f>
        <v>1644.86</v>
      </c>
      <c r="L160" s="135"/>
      <c r="M160" s="136"/>
      <c r="N160" s="136"/>
      <c r="O160" s="136"/>
      <c r="P160" s="37">
        <f>Q160+Q160*R160+S160+T160+U160</f>
        <v>55.8</v>
      </c>
      <c r="Q160" s="99">
        <f>$Q$10</f>
        <v>15</v>
      </c>
      <c r="R160" s="163">
        <f>$R$10</f>
        <v>0</v>
      </c>
      <c r="S160" s="99">
        <f>$S$10</f>
        <v>40</v>
      </c>
      <c r="T160" s="99">
        <f>$T$10</f>
        <v>0.5</v>
      </c>
      <c r="U160" s="99">
        <f>$U$10</f>
        <v>0.3</v>
      </c>
      <c r="V160" s="37">
        <f>P160*E160</f>
        <v>1495.3284</v>
      </c>
      <c r="W160" s="139"/>
      <c r="X160" s="139"/>
      <c r="Y160" s="139"/>
      <c r="Z160" s="139"/>
      <c r="AA160" s="139"/>
      <c r="AB160" s="139"/>
      <c r="AC160" s="140"/>
      <c r="AD160" s="140"/>
    </row>
    <row r="161" s="119" customFormat="1" ht="24" customHeight="1" outlineLevel="1" spans="1:30">
      <c r="A161" s="141"/>
      <c r="B161" s="14" t="s">
        <v>494</v>
      </c>
      <c r="C161" s="15"/>
      <c r="D161" s="142"/>
      <c r="E161" s="143"/>
      <c r="F161" s="143"/>
      <c r="G161" s="143"/>
      <c r="H161" s="143"/>
      <c r="I161" s="143"/>
      <c r="J161" s="143"/>
      <c r="K161" s="144"/>
      <c r="L161" s="135"/>
      <c r="M161" s="136"/>
      <c r="N161" s="136"/>
      <c r="O161" s="136"/>
      <c r="P161" s="137"/>
      <c r="Q161" s="137"/>
      <c r="R161" s="138"/>
      <c r="S161" s="137"/>
      <c r="T161" s="137"/>
      <c r="U161" s="137"/>
      <c r="V161" s="137"/>
      <c r="W161" s="139"/>
      <c r="X161" s="139"/>
      <c r="Y161" s="139"/>
      <c r="Z161" s="139"/>
      <c r="AA161" s="139"/>
      <c r="AB161" s="139"/>
      <c r="AC161" s="140"/>
      <c r="AD161" s="140"/>
    </row>
    <row r="162" s="119" customFormat="1" ht="72" customHeight="1" outlineLevel="2" spans="1:30">
      <c r="A162" s="162">
        <f t="shared" ref="A162:A173" si="39">1+N(A161)</f>
        <v>1</v>
      </c>
      <c r="B162" s="164" t="s">
        <v>74</v>
      </c>
      <c r="C162" s="15" t="s">
        <v>75</v>
      </c>
      <c r="D162" s="142" t="s">
        <v>63</v>
      </c>
      <c r="E162" s="143">
        <v>5.313</v>
      </c>
      <c r="F162" s="143">
        <f>$F$12</f>
        <v>95</v>
      </c>
      <c r="G162" s="143">
        <f>$G$12</f>
        <v>813.75</v>
      </c>
      <c r="H162" s="143">
        <f>$H$12</f>
        <v>18.3</v>
      </c>
      <c r="I162" s="17">
        <f t="shared" ref="I162:I173" si="40">(F162+G162+H162)*$I$3</f>
        <v>92.705</v>
      </c>
      <c r="J162" s="18">
        <f t="shared" ref="J162:J173" si="41">ROUND(SUM(F162:I162),2)</f>
        <v>1019.76</v>
      </c>
      <c r="K162" s="19">
        <f t="shared" ref="K162:K173" si="42">ROUND(J162*E162,2)</f>
        <v>5417.98</v>
      </c>
      <c r="L162" s="135"/>
      <c r="M162" s="136"/>
      <c r="N162" s="136"/>
      <c r="O162" s="136"/>
      <c r="P162" s="37">
        <f t="shared" ref="P162:P173" si="43">Q162+Q162*R162+S162+T162+U162</f>
        <v>927.05</v>
      </c>
      <c r="Q162" s="99">
        <f>$Q$12</f>
        <v>775</v>
      </c>
      <c r="R162" s="163">
        <f>$R$12</f>
        <v>0.05</v>
      </c>
      <c r="S162" s="99">
        <f>$S$12</f>
        <v>95</v>
      </c>
      <c r="T162" s="99">
        <f>$T$12</f>
        <v>16.8</v>
      </c>
      <c r="U162" s="99">
        <f>$U$12</f>
        <v>1.5</v>
      </c>
      <c r="V162" s="37">
        <f t="shared" ref="V162:V173" si="44">P162*E162</f>
        <v>4925.41665</v>
      </c>
      <c r="W162" s="139"/>
      <c r="X162" s="139"/>
      <c r="Y162" s="139"/>
      <c r="Z162" s="139"/>
      <c r="AA162" s="139"/>
      <c r="AB162" s="139"/>
      <c r="AC162" s="140"/>
      <c r="AD162" s="140"/>
    </row>
    <row r="163" s="119" customFormat="1" ht="96" customHeight="1" outlineLevel="2" spans="1:30">
      <c r="A163" s="162">
        <f t="shared" si="39"/>
        <v>2</v>
      </c>
      <c r="B163" s="165" t="s">
        <v>76</v>
      </c>
      <c r="C163" s="166" t="s">
        <v>77</v>
      </c>
      <c r="D163" s="142" t="s">
        <v>63</v>
      </c>
      <c r="E163" s="143">
        <v>22.277</v>
      </c>
      <c r="F163" s="143">
        <f>$F$13</f>
        <v>145</v>
      </c>
      <c r="G163" s="143">
        <f>$G$13</f>
        <v>651</v>
      </c>
      <c r="H163" s="143">
        <f>$H$13</f>
        <v>113.55</v>
      </c>
      <c r="I163" s="17">
        <f t="shared" si="40"/>
        <v>90.955</v>
      </c>
      <c r="J163" s="18">
        <f t="shared" si="41"/>
        <v>1000.51</v>
      </c>
      <c r="K163" s="19">
        <f t="shared" si="42"/>
        <v>22288.36</v>
      </c>
      <c r="L163" s="135"/>
      <c r="M163" s="136"/>
      <c r="N163" s="136"/>
      <c r="O163" s="136"/>
      <c r="P163" s="37">
        <f t="shared" si="43"/>
        <v>909.55</v>
      </c>
      <c r="Q163" s="99">
        <f>$Q$13</f>
        <v>620</v>
      </c>
      <c r="R163" s="163">
        <f>$R$13</f>
        <v>0.05</v>
      </c>
      <c r="S163" s="99">
        <f>$S$13</f>
        <v>145</v>
      </c>
      <c r="T163" s="99">
        <f>$T$13</f>
        <v>111.75</v>
      </c>
      <c r="U163" s="99">
        <f>$U$13</f>
        <v>1.8</v>
      </c>
      <c r="V163" s="37">
        <f t="shared" si="44"/>
        <v>20262.04535</v>
      </c>
      <c r="W163" s="139"/>
      <c r="X163" s="139"/>
      <c r="Y163" s="139"/>
      <c r="Z163" s="139"/>
      <c r="AA163" s="139"/>
      <c r="AB163" s="139"/>
      <c r="AC163" s="140"/>
      <c r="AD163" s="140"/>
    </row>
    <row r="164" s="119" customFormat="1" ht="60" customHeight="1" outlineLevel="2" spans="1:30">
      <c r="A164" s="162">
        <f t="shared" si="39"/>
        <v>3</v>
      </c>
      <c r="B164" s="14" t="s">
        <v>226</v>
      </c>
      <c r="C164" s="15" t="s">
        <v>225</v>
      </c>
      <c r="D164" s="142" t="s">
        <v>63</v>
      </c>
      <c r="E164" s="143">
        <v>4.93</v>
      </c>
      <c r="F164" s="143">
        <f>$F$14</f>
        <v>35</v>
      </c>
      <c r="G164" s="143">
        <f>$G$14</f>
        <v>346.08</v>
      </c>
      <c r="H164" s="143">
        <f>$H$14</f>
        <v>54.7</v>
      </c>
      <c r="I164" s="17">
        <f t="shared" si="40"/>
        <v>43.578</v>
      </c>
      <c r="J164" s="18">
        <f t="shared" si="41"/>
        <v>479.36</v>
      </c>
      <c r="K164" s="19">
        <f t="shared" si="42"/>
        <v>2363.24</v>
      </c>
      <c r="L164" s="135"/>
      <c r="M164" s="136"/>
      <c r="N164" s="136"/>
      <c r="O164" s="136"/>
      <c r="P164" s="37">
        <f t="shared" si="43"/>
        <v>435.78</v>
      </c>
      <c r="Q164" s="99">
        <f>$Q$14</f>
        <v>336</v>
      </c>
      <c r="R164" s="163">
        <f>$R$14</f>
        <v>0.03</v>
      </c>
      <c r="S164" s="99">
        <f>$S$14</f>
        <v>35</v>
      </c>
      <c r="T164" s="99">
        <f>$T$14</f>
        <v>53.5</v>
      </c>
      <c r="U164" s="99">
        <f>$U$14</f>
        <v>1.2</v>
      </c>
      <c r="V164" s="37">
        <f t="shared" si="44"/>
        <v>2148.3954</v>
      </c>
      <c r="W164" s="139"/>
      <c r="X164" s="139"/>
      <c r="Y164" s="139"/>
      <c r="Z164" s="139"/>
      <c r="AA164" s="139"/>
      <c r="AB164" s="139"/>
      <c r="AC164" s="140"/>
      <c r="AD164" s="140"/>
    </row>
    <row r="165" s="119" customFormat="1" ht="72" customHeight="1" outlineLevel="2" spans="1:30">
      <c r="A165" s="162">
        <f t="shared" si="39"/>
        <v>4</v>
      </c>
      <c r="B165" s="165" t="s">
        <v>228</v>
      </c>
      <c r="C165" s="15" t="s">
        <v>229</v>
      </c>
      <c r="D165" s="142" t="s">
        <v>63</v>
      </c>
      <c r="E165" s="143">
        <v>29.297</v>
      </c>
      <c r="F165" s="143">
        <f>$F$15</f>
        <v>110</v>
      </c>
      <c r="G165" s="143">
        <f>$G$15</f>
        <v>86.355</v>
      </c>
      <c r="H165" s="143">
        <f>$H$15</f>
        <v>56.797</v>
      </c>
      <c r="I165" s="17">
        <f t="shared" si="40"/>
        <v>25.3152</v>
      </c>
      <c r="J165" s="18">
        <f t="shared" si="41"/>
        <v>278.47</v>
      </c>
      <c r="K165" s="19">
        <f t="shared" si="42"/>
        <v>8158.34</v>
      </c>
      <c r="L165" s="135"/>
      <c r="M165" s="136"/>
      <c r="N165" s="136"/>
      <c r="O165" s="136"/>
      <c r="P165" s="37">
        <f t="shared" si="43"/>
        <v>253.152</v>
      </c>
      <c r="Q165" s="99">
        <f>$Q$15</f>
        <v>85.5</v>
      </c>
      <c r="R165" s="163">
        <f>$R$15</f>
        <v>0.01</v>
      </c>
      <c r="S165" s="99">
        <f>$S$15</f>
        <v>110</v>
      </c>
      <c r="T165" s="99">
        <f>$T$15</f>
        <v>55.997</v>
      </c>
      <c r="U165" s="99">
        <f>$U$15</f>
        <v>0.8</v>
      </c>
      <c r="V165" s="37">
        <f t="shared" si="44"/>
        <v>7416.594144</v>
      </c>
      <c r="W165" s="139"/>
      <c r="X165" s="139"/>
      <c r="Y165" s="139"/>
      <c r="Z165" s="139"/>
      <c r="AA165" s="139"/>
      <c r="AB165" s="139"/>
      <c r="AC165" s="140"/>
      <c r="AD165" s="140"/>
    </row>
    <row r="166" s="119" customFormat="1" ht="48" customHeight="1" outlineLevel="2" spans="1:30">
      <c r="A166" s="162">
        <f t="shared" si="39"/>
        <v>5</v>
      </c>
      <c r="B166" s="165" t="s">
        <v>82</v>
      </c>
      <c r="C166" s="166" t="s">
        <v>83</v>
      </c>
      <c r="D166" s="165" t="s">
        <v>63</v>
      </c>
      <c r="E166" s="143">
        <f>0.31*2.2*2+0.25*1.2</f>
        <v>1.664</v>
      </c>
      <c r="F166" s="143">
        <f>$F$16</f>
        <v>110</v>
      </c>
      <c r="G166" s="143">
        <f>$G$16</f>
        <v>454.5</v>
      </c>
      <c r="H166" s="143">
        <f>$H$16</f>
        <v>55.2</v>
      </c>
      <c r="I166" s="17">
        <f t="shared" si="40"/>
        <v>61.97</v>
      </c>
      <c r="J166" s="18">
        <f t="shared" si="41"/>
        <v>681.67</v>
      </c>
      <c r="K166" s="19">
        <f t="shared" si="42"/>
        <v>1134.3</v>
      </c>
      <c r="L166" s="135"/>
      <c r="M166" s="136"/>
      <c r="N166" s="136"/>
      <c r="O166" s="136"/>
      <c r="P166" s="37">
        <f t="shared" si="43"/>
        <v>619.7</v>
      </c>
      <c r="Q166" s="99">
        <f>$Q$16</f>
        <v>450</v>
      </c>
      <c r="R166" s="163">
        <f>$R$16</f>
        <v>0.01</v>
      </c>
      <c r="S166" s="99">
        <f>$S$16</f>
        <v>110</v>
      </c>
      <c r="T166" s="99">
        <f>$T$16</f>
        <v>54</v>
      </c>
      <c r="U166" s="99">
        <f>$U$16</f>
        <v>1.2</v>
      </c>
      <c r="V166" s="37">
        <f t="shared" si="44"/>
        <v>1031.1808</v>
      </c>
      <c r="W166" s="139"/>
      <c r="X166" s="139"/>
      <c r="Y166" s="139"/>
      <c r="Z166" s="139"/>
      <c r="AA166" s="139"/>
      <c r="AB166" s="139"/>
      <c r="AC166" s="140"/>
      <c r="AD166" s="140"/>
    </row>
    <row r="167" s="119" customFormat="1" ht="48" customHeight="1" outlineLevel="2" spans="1:30">
      <c r="A167" s="162">
        <f t="shared" si="39"/>
        <v>6</v>
      </c>
      <c r="B167" s="165" t="s">
        <v>84</v>
      </c>
      <c r="C167" s="166" t="s">
        <v>83</v>
      </c>
      <c r="D167" s="165" t="s">
        <v>63</v>
      </c>
      <c r="E167" s="143">
        <f>0.34*2.5*2*2</f>
        <v>3.4</v>
      </c>
      <c r="F167" s="143">
        <f>$F$17</f>
        <v>110</v>
      </c>
      <c r="G167" s="143">
        <f>$G$17</f>
        <v>454.5</v>
      </c>
      <c r="H167" s="143">
        <f>$H$17</f>
        <v>55.2</v>
      </c>
      <c r="I167" s="17">
        <f t="shared" si="40"/>
        <v>61.97</v>
      </c>
      <c r="J167" s="18">
        <f t="shared" si="41"/>
        <v>681.67</v>
      </c>
      <c r="K167" s="19">
        <f t="shared" si="42"/>
        <v>2317.68</v>
      </c>
      <c r="L167" s="135"/>
      <c r="M167" s="136"/>
      <c r="N167" s="136"/>
      <c r="O167" s="136"/>
      <c r="P167" s="37">
        <f t="shared" si="43"/>
        <v>619.7</v>
      </c>
      <c r="Q167" s="99">
        <f>$Q$17</f>
        <v>450</v>
      </c>
      <c r="R167" s="163">
        <f>$R$17</f>
        <v>0.01</v>
      </c>
      <c r="S167" s="99">
        <f>$S$17</f>
        <v>110</v>
      </c>
      <c r="T167" s="99">
        <f>$T$17</f>
        <v>54</v>
      </c>
      <c r="U167" s="99">
        <f>$U$17</f>
        <v>1.2</v>
      </c>
      <c r="V167" s="37">
        <f t="shared" si="44"/>
        <v>2106.98</v>
      </c>
      <c r="W167" s="139"/>
      <c r="X167" s="139"/>
      <c r="Y167" s="139"/>
      <c r="Z167" s="139"/>
      <c r="AA167" s="139"/>
      <c r="AB167" s="139"/>
      <c r="AC167" s="140"/>
      <c r="AD167" s="140"/>
    </row>
    <row r="168" s="119" customFormat="1" ht="60" customHeight="1" outlineLevel="2" spans="1:30">
      <c r="A168" s="162">
        <f t="shared" si="39"/>
        <v>7</v>
      </c>
      <c r="B168" s="165" t="s">
        <v>85</v>
      </c>
      <c r="C168" s="166" t="s">
        <v>86</v>
      </c>
      <c r="D168" s="165" t="s">
        <v>63</v>
      </c>
      <c r="E168" s="143">
        <f>+(0.061+0.22+0.114+0.074)*0.95*2</f>
        <v>0.8911</v>
      </c>
      <c r="F168" s="143">
        <f>$F$18</f>
        <v>110</v>
      </c>
      <c r="G168" s="143">
        <f>$G$18</f>
        <v>454.5</v>
      </c>
      <c r="H168" s="143">
        <f>$H$18</f>
        <v>55.2</v>
      </c>
      <c r="I168" s="17">
        <f t="shared" si="40"/>
        <v>61.97</v>
      </c>
      <c r="J168" s="18">
        <f t="shared" si="41"/>
        <v>681.67</v>
      </c>
      <c r="K168" s="19">
        <f t="shared" si="42"/>
        <v>607.44</v>
      </c>
      <c r="L168" s="135"/>
      <c r="M168" s="136"/>
      <c r="N168" s="136"/>
      <c r="O168" s="136"/>
      <c r="P168" s="37">
        <f t="shared" si="43"/>
        <v>619.7</v>
      </c>
      <c r="Q168" s="99">
        <f>$Q$18</f>
        <v>450</v>
      </c>
      <c r="R168" s="163">
        <f>$R$18</f>
        <v>0.01</v>
      </c>
      <c r="S168" s="99">
        <f>$S$18</f>
        <v>110</v>
      </c>
      <c r="T168" s="99">
        <f>$T$18</f>
        <v>54</v>
      </c>
      <c r="U168" s="99">
        <f>$U$18</f>
        <v>1.2</v>
      </c>
      <c r="V168" s="37">
        <f t="shared" si="44"/>
        <v>552.21467</v>
      </c>
      <c r="W168" s="139"/>
      <c r="X168" s="139"/>
      <c r="Y168" s="139"/>
      <c r="Z168" s="139"/>
      <c r="AA168" s="139"/>
      <c r="AB168" s="139"/>
      <c r="AC168" s="140"/>
      <c r="AD168" s="140"/>
    </row>
    <row r="169" s="119" customFormat="1" ht="48" customHeight="1" outlineLevel="2" spans="1:30">
      <c r="A169" s="162">
        <f t="shared" si="39"/>
        <v>8</v>
      </c>
      <c r="B169" s="165" t="s">
        <v>87</v>
      </c>
      <c r="C169" s="166" t="s">
        <v>88</v>
      </c>
      <c r="D169" s="165" t="s">
        <v>63</v>
      </c>
      <c r="E169" s="143">
        <v>0.253</v>
      </c>
      <c r="F169" s="143">
        <f>$F$19</f>
        <v>110</v>
      </c>
      <c r="G169" s="143">
        <f>$G$19</f>
        <v>454.5</v>
      </c>
      <c r="H169" s="143">
        <f>$H$19</f>
        <v>55.2</v>
      </c>
      <c r="I169" s="17">
        <f t="shared" si="40"/>
        <v>61.97</v>
      </c>
      <c r="J169" s="18">
        <f t="shared" si="41"/>
        <v>681.67</v>
      </c>
      <c r="K169" s="19">
        <f t="shared" si="42"/>
        <v>172.46</v>
      </c>
      <c r="L169" s="135"/>
      <c r="M169" s="136"/>
      <c r="N169" s="136"/>
      <c r="O169" s="136"/>
      <c r="P169" s="37">
        <f t="shared" si="43"/>
        <v>619.7</v>
      </c>
      <c r="Q169" s="99">
        <f>$Q$19</f>
        <v>450</v>
      </c>
      <c r="R169" s="163">
        <f>$R$19</f>
        <v>0.01</v>
      </c>
      <c r="S169" s="99">
        <f>$S$19</f>
        <v>110</v>
      </c>
      <c r="T169" s="99">
        <f>$T$19</f>
        <v>54</v>
      </c>
      <c r="U169" s="99">
        <f>$U$19</f>
        <v>1.2</v>
      </c>
      <c r="V169" s="37">
        <f t="shared" si="44"/>
        <v>156.7841</v>
      </c>
      <c r="W169" s="139"/>
      <c r="X169" s="139"/>
      <c r="Y169" s="139"/>
      <c r="Z169" s="139"/>
      <c r="AA169" s="139"/>
      <c r="AB169" s="139"/>
      <c r="AC169" s="140"/>
      <c r="AD169" s="140"/>
    </row>
    <row r="170" s="119" customFormat="1" ht="48" customHeight="1" outlineLevel="2" spans="1:30">
      <c r="A170" s="162">
        <f t="shared" si="39"/>
        <v>9</v>
      </c>
      <c r="B170" s="165" t="s">
        <v>91</v>
      </c>
      <c r="C170" s="166" t="s">
        <v>92</v>
      </c>
      <c r="D170" s="165" t="s">
        <v>70</v>
      </c>
      <c r="E170" s="143">
        <v>25.936</v>
      </c>
      <c r="F170" s="143">
        <f>$F$20</f>
        <v>12</v>
      </c>
      <c r="G170" s="143">
        <f>$G$20</f>
        <v>25.75</v>
      </c>
      <c r="H170" s="143">
        <f>$H$20</f>
        <v>3.8</v>
      </c>
      <c r="I170" s="17">
        <f t="shared" si="40"/>
        <v>4.155</v>
      </c>
      <c r="J170" s="18">
        <f t="shared" si="41"/>
        <v>45.71</v>
      </c>
      <c r="K170" s="19">
        <f t="shared" si="42"/>
        <v>1185.53</v>
      </c>
      <c r="L170" s="135"/>
      <c r="M170" s="136"/>
      <c r="N170" s="136"/>
      <c r="O170" s="136"/>
      <c r="P170" s="37">
        <f t="shared" si="43"/>
        <v>41.55</v>
      </c>
      <c r="Q170" s="99">
        <f>$Q$20</f>
        <v>25</v>
      </c>
      <c r="R170" s="163">
        <f>$R$20</f>
        <v>0.03</v>
      </c>
      <c r="S170" s="99">
        <f>$S$20</f>
        <v>12</v>
      </c>
      <c r="T170" s="99">
        <f>$T$20</f>
        <v>3.5</v>
      </c>
      <c r="U170" s="99">
        <f>$U$20</f>
        <v>0.3</v>
      </c>
      <c r="V170" s="37">
        <f t="shared" si="44"/>
        <v>1077.6408</v>
      </c>
      <c r="W170" s="139"/>
      <c r="X170" s="139"/>
      <c r="Y170" s="139"/>
      <c r="Z170" s="139"/>
      <c r="AA170" s="139"/>
      <c r="AB170" s="139"/>
      <c r="AC170" s="140"/>
      <c r="AD170" s="140"/>
    </row>
    <row r="171" s="119" customFormat="1" ht="36" customHeight="1" outlineLevel="2" spans="1:30">
      <c r="A171" s="162">
        <f t="shared" si="39"/>
        <v>10</v>
      </c>
      <c r="B171" s="165" t="s">
        <v>519</v>
      </c>
      <c r="C171" s="166" t="s">
        <v>520</v>
      </c>
      <c r="D171" s="165" t="s">
        <v>70</v>
      </c>
      <c r="E171" s="143">
        <v>12.779</v>
      </c>
      <c r="F171" s="143">
        <f>$F$21</f>
        <v>12</v>
      </c>
      <c r="G171" s="143">
        <f>$G$21</f>
        <v>30.385</v>
      </c>
      <c r="H171" s="143">
        <f>$H$21</f>
        <v>3.8</v>
      </c>
      <c r="I171" s="17">
        <f t="shared" si="40"/>
        <v>4.6185</v>
      </c>
      <c r="J171" s="18">
        <f t="shared" si="41"/>
        <v>50.8</v>
      </c>
      <c r="K171" s="19">
        <f t="shared" si="42"/>
        <v>649.17</v>
      </c>
      <c r="L171" s="135"/>
      <c r="M171" s="136"/>
      <c r="N171" s="136"/>
      <c r="O171" s="136"/>
      <c r="P171" s="37">
        <f t="shared" si="43"/>
        <v>46.185</v>
      </c>
      <c r="Q171" s="99">
        <f>$Q$21</f>
        <v>29.5</v>
      </c>
      <c r="R171" s="163">
        <f>$R$21</f>
        <v>0.03</v>
      </c>
      <c r="S171" s="99">
        <f>$S$21</f>
        <v>12</v>
      </c>
      <c r="T171" s="99">
        <f>$T$21</f>
        <v>3.5</v>
      </c>
      <c r="U171" s="99">
        <f>$U$21</f>
        <v>0.3</v>
      </c>
      <c r="V171" s="37">
        <f t="shared" si="44"/>
        <v>590.198115</v>
      </c>
      <c r="W171" s="139"/>
      <c r="X171" s="139"/>
      <c r="Y171" s="139"/>
      <c r="Z171" s="139"/>
      <c r="AA171" s="139"/>
      <c r="AB171" s="139"/>
      <c r="AC171" s="140"/>
      <c r="AD171" s="140"/>
    </row>
    <row r="172" s="119" customFormat="1" ht="48" customHeight="1" outlineLevel="2" spans="1:30">
      <c r="A172" s="162">
        <f t="shared" si="39"/>
        <v>11</v>
      </c>
      <c r="B172" s="165" t="s">
        <v>97</v>
      </c>
      <c r="C172" s="166" t="s">
        <v>98</v>
      </c>
      <c r="D172" s="165" t="s">
        <v>70</v>
      </c>
      <c r="E172" s="143">
        <v>9.405</v>
      </c>
      <c r="F172" s="143">
        <f>$F$22</f>
        <v>22</v>
      </c>
      <c r="G172" s="143">
        <f>$G$22</f>
        <v>58.195</v>
      </c>
      <c r="H172" s="143">
        <f>$H$22</f>
        <v>6.3</v>
      </c>
      <c r="I172" s="17">
        <f t="shared" si="40"/>
        <v>8.6495</v>
      </c>
      <c r="J172" s="18">
        <f t="shared" si="41"/>
        <v>95.14</v>
      </c>
      <c r="K172" s="19">
        <f t="shared" si="42"/>
        <v>894.79</v>
      </c>
      <c r="L172" s="135"/>
      <c r="M172" s="136"/>
      <c r="N172" s="136"/>
      <c r="O172" s="136"/>
      <c r="P172" s="37">
        <f t="shared" si="43"/>
        <v>86.495</v>
      </c>
      <c r="Q172" s="99">
        <f>$Q$22</f>
        <v>56.5</v>
      </c>
      <c r="R172" s="163">
        <f>$R$22</f>
        <v>0.03</v>
      </c>
      <c r="S172" s="99">
        <f>$S$22</f>
        <v>22</v>
      </c>
      <c r="T172" s="99">
        <f>$T$22</f>
        <v>6</v>
      </c>
      <c r="U172" s="99">
        <f>$U$22</f>
        <v>0.3</v>
      </c>
      <c r="V172" s="37">
        <f t="shared" si="44"/>
        <v>813.485475</v>
      </c>
      <c r="W172" s="139"/>
      <c r="X172" s="139"/>
      <c r="Y172" s="139"/>
      <c r="Z172" s="139"/>
      <c r="AA172" s="139"/>
      <c r="AB172" s="139"/>
      <c r="AC172" s="140"/>
      <c r="AD172" s="140"/>
    </row>
    <row r="173" s="119" customFormat="1" ht="48" customHeight="1" outlineLevel="2" spans="1:30">
      <c r="A173" s="162">
        <f t="shared" si="39"/>
        <v>12</v>
      </c>
      <c r="B173" s="165" t="s">
        <v>99</v>
      </c>
      <c r="C173" s="166" t="s">
        <v>100</v>
      </c>
      <c r="D173" s="165" t="s">
        <v>70</v>
      </c>
      <c r="E173" s="143">
        <v>26.877</v>
      </c>
      <c r="F173" s="143">
        <f>$F$23</f>
        <v>12</v>
      </c>
      <c r="G173" s="143">
        <f>$G$23</f>
        <v>23.4325</v>
      </c>
      <c r="H173" s="143">
        <f>$H$23</f>
        <v>3.8</v>
      </c>
      <c r="I173" s="17">
        <f t="shared" si="40"/>
        <v>3.92325</v>
      </c>
      <c r="J173" s="18">
        <f t="shared" si="41"/>
        <v>43.16</v>
      </c>
      <c r="K173" s="19">
        <f t="shared" si="42"/>
        <v>1160.01</v>
      </c>
      <c r="L173" s="135"/>
      <c r="M173" s="136"/>
      <c r="N173" s="136"/>
      <c r="O173" s="136"/>
      <c r="P173" s="37">
        <f t="shared" si="43"/>
        <v>39.2325</v>
      </c>
      <c r="Q173" s="99">
        <f>$Q$23</f>
        <v>22.75</v>
      </c>
      <c r="R173" s="163">
        <f>$R$23</f>
        <v>0.03</v>
      </c>
      <c r="S173" s="99">
        <f>$S$23</f>
        <v>12</v>
      </c>
      <c r="T173" s="99">
        <f>$T$23</f>
        <v>3.5</v>
      </c>
      <c r="U173" s="99">
        <f>$U$23</f>
        <v>0.3</v>
      </c>
      <c r="V173" s="37">
        <f t="shared" si="44"/>
        <v>1054.4519025</v>
      </c>
      <c r="W173" s="139"/>
      <c r="X173" s="139"/>
      <c r="Y173" s="139"/>
      <c r="Z173" s="139"/>
      <c r="AA173" s="139"/>
      <c r="AB173" s="139"/>
      <c r="AC173" s="140"/>
      <c r="AD173" s="140"/>
    </row>
    <row r="174" s="119" customFormat="1" ht="24" customHeight="1" outlineLevel="1" spans="1:30">
      <c r="A174" s="141"/>
      <c r="B174" s="14" t="s">
        <v>101</v>
      </c>
      <c r="C174" s="15"/>
      <c r="D174" s="142"/>
      <c r="E174" s="143"/>
      <c r="F174" s="143"/>
      <c r="G174" s="143"/>
      <c r="H174" s="143"/>
      <c r="I174" s="143"/>
      <c r="J174" s="143"/>
      <c r="K174" s="144"/>
      <c r="L174" s="135"/>
      <c r="M174" s="136"/>
      <c r="N174" s="136"/>
      <c r="O174" s="136"/>
      <c r="P174" s="137"/>
      <c r="Q174" s="137"/>
      <c r="R174" s="138"/>
      <c r="S174" s="137"/>
      <c r="T174" s="137"/>
      <c r="U174" s="137"/>
      <c r="V174" s="137"/>
      <c r="W174" s="139"/>
      <c r="X174" s="139"/>
      <c r="Y174" s="139"/>
      <c r="Z174" s="139"/>
      <c r="AA174" s="139"/>
      <c r="AB174" s="139"/>
      <c r="AC174" s="140"/>
      <c r="AD174" s="140"/>
    </row>
    <row r="175" s="119" customFormat="1" ht="96" customHeight="1" outlineLevel="2" spans="1:30">
      <c r="A175" s="162">
        <f>1+N(A174)</f>
        <v>1</v>
      </c>
      <c r="B175" s="14" t="s">
        <v>460</v>
      </c>
      <c r="C175" s="167" t="s">
        <v>103</v>
      </c>
      <c r="D175" s="142" t="s">
        <v>63</v>
      </c>
      <c r="E175" s="143">
        <v>27.288</v>
      </c>
      <c r="F175" s="143">
        <f>$F$25</f>
        <v>70</v>
      </c>
      <c r="G175" s="143">
        <f>$G$25</f>
        <v>0</v>
      </c>
      <c r="H175" s="143">
        <f>$H$25</f>
        <v>66.711</v>
      </c>
      <c r="I175" s="17">
        <f>(F175+G175+H175)*$I$3</f>
        <v>13.6711</v>
      </c>
      <c r="J175" s="18">
        <f>ROUND(SUM(F175:I175),2)</f>
        <v>150.38</v>
      </c>
      <c r="K175" s="19">
        <f>ROUND(J175*E175,2)</f>
        <v>4103.57</v>
      </c>
      <c r="L175" s="135"/>
      <c r="M175" s="136"/>
      <c r="N175" s="136"/>
      <c r="O175" s="136"/>
      <c r="P175" s="37">
        <f>Q175+Q175*R175+S175+T175+U175</f>
        <v>136.711</v>
      </c>
      <c r="Q175" s="99">
        <f>$Q$25</f>
        <v>0</v>
      </c>
      <c r="R175" s="163">
        <f>$R$25</f>
        <v>0.01</v>
      </c>
      <c r="S175" s="99">
        <f>$S$25</f>
        <v>70</v>
      </c>
      <c r="T175" s="99">
        <f>$T$25</f>
        <v>64.711</v>
      </c>
      <c r="U175" s="99">
        <f>$U$25</f>
        <v>2</v>
      </c>
      <c r="V175" s="37">
        <f>P175*E175</f>
        <v>3730.569768</v>
      </c>
      <c r="W175" s="139"/>
      <c r="X175" s="139"/>
      <c r="Y175" s="139"/>
      <c r="Z175" s="139"/>
      <c r="AA175" s="139"/>
      <c r="AB175" s="139"/>
      <c r="AC175" s="140"/>
      <c r="AD175" s="140"/>
    </row>
    <row r="176" s="119" customFormat="1" ht="72" customHeight="1" outlineLevel="2" spans="1:30">
      <c r="A176" s="162">
        <f>1+N(A175)</f>
        <v>2</v>
      </c>
      <c r="B176" s="14" t="s">
        <v>104</v>
      </c>
      <c r="C176" s="167" t="s">
        <v>105</v>
      </c>
      <c r="D176" s="142" t="s">
        <v>70</v>
      </c>
      <c r="E176" s="143">
        <v>15.982</v>
      </c>
      <c r="F176" s="143">
        <f>$F$127</f>
        <v>50</v>
      </c>
      <c r="G176" s="143">
        <f>$G$127</f>
        <v>0</v>
      </c>
      <c r="H176" s="143">
        <f>$H$127</f>
        <v>22.0941</v>
      </c>
      <c r="I176" s="17">
        <f>(F176+G176+H176)*$I$3</f>
        <v>7.20941</v>
      </c>
      <c r="J176" s="18">
        <f>ROUND(SUM(F176:I176),2)</f>
        <v>79.3</v>
      </c>
      <c r="K176" s="19">
        <f>ROUND(J176*E176,2)</f>
        <v>1267.37</v>
      </c>
      <c r="L176" s="135"/>
      <c r="M176" s="136"/>
      <c r="N176" s="136"/>
      <c r="O176" s="136"/>
      <c r="P176" s="37">
        <f>Q176+Q176*R176+S176+T176+U176</f>
        <v>72.0941</v>
      </c>
      <c r="Q176" s="99">
        <f>$Q$127</f>
        <v>0</v>
      </c>
      <c r="R176" s="163">
        <f>$R$127</f>
        <v>0.01</v>
      </c>
      <c r="S176" s="99">
        <f>$S$127</f>
        <v>50</v>
      </c>
      <c r="T176" s="99">
        <f>$T$127</f>
        <v>22.0941</v>
      </c>
      <c r="U176" s="99">
        <f>$U$127</f>
        <v>0</v>
      </c>
      <c r="V176" s="37">
        <f>P176*E176</f>
        <v>1152.2079062</v>
      </c>
      <c r="W176" s="139"/>
      <c r="X176" s="139"/>
      <c r="Y176" s="139"/>
      <c r="Z176" s="139"/>
      <c r="AA176" s="139"/>
      <c r="AB176" s="139"/>
      <c r="AC176" s="140"/>
      <c r="AD176" s="140"/>
    </row>
    <row r="177" s="119" customFormat="1" ht="72" customHeight="1" outlineLevel="2" spans="1:30">
      <c r="A177" s="162">
        <f>1+N(A176)</f>
        <v>3</v>
      </c>
      <c r="B177" s="14" t="s">
        <v>106</v>
      </c>
      <c r="C177" s="15" t="s">
        <v>107</v>
      </c>
      <c r="D177" s="142" t="s">
        <v>70</v>
      </c>
      <c r="E177" s="143">
        <v>15.982</v>
      </c>
      <c r="F177" s="143">
        <f>$F$27</f>
        <v>18</v>
      </c>
      <c r="G177" s="143">
        <f>$G$27</f>
        <v>163.255</v>
      </c>
      <c r="H177" s="143">
        <f>$H$27</f>
        <v>3.8</v>
      </c>
      <c r="I177" s="17">
        <f>(F177+G177+H177)*$I$3</f>
        <v>18.5055</v>
      </c>
      <c r="J177" s="18">
        <f>ROUND(SUM(F177:I177),2)</f>
        <v>203.56</v>
      </c>
      <c r="K177" s="19">
        <f>ROUND(J177*E177,2)</f>
        <v>3253.3</v>
      </c>
      <c r="L177" s="135"/>
      <c r="M177" s="136"/>
      <c r="N177" s="136"/>
      <c r="O177" s="136"/>
      <c r="P177" s="37">
        <f>Q177+Q177*R177+S177+T177+U177</f>
        <v>185.055</v>
      </c>
      <c r="Q177" s="99">
        <f>$Q$27</f>
        <v>158.5</v>
      </c>
      <c r="R177" s="163">
        <f>$R$27</f>
        <v>0.03</v>
      </c>
      <c r="S177" s="99">
        <f>$S$27</f>
        <v>18</v>
      </c>
      <c r="T177" s="99">
        <f>$T$27</f>
        <v>3.5</v>
      </c>
      <c r="U177" s="99">
        <f>$U$27</f>
        <v>0.3</v>
      </c>
      <c r="V177" s="37">
        <f>P177*E177</f>
        <v>2957.54901</v>
      </c>
      <c r="W177" s="139"/>
      <c r="X177" s="139"/>
      <c r="Y177" s="139"/>
      <c r="Z177" s="139"/>
      <c r="AA177" s="139"/>
      <c r="AB177" s="139"/>
      <c r="AC177" s="140"/>
      <c r="AD177" s="140"/>
    </row>
    <row r="178" s="119" customFormat="1" ht="72" customHeight="1" outlineLevel="2" spans="1:30">
      <c r="A178" s="162">
        <f>1+N(A177)</f>
        <v>4</v>
      </c>
      <c r="B178" s="14" t="s">
        <v>108</v>
      </c>
      <c r="C178" s="15" t="s">
        <v>109</v>
      </c>
      <c r="D178" s="142" t="s">
        <v>70</v>
      </c>
      <c r="E178" s="143">
        <f>5.12*2</f>
        <v>10.24</v>
      </c>
      <c r="F178" s="143">
        <f>$F$28</f>
        <v>30</v>
      </c>
      <c r="G178" s="143">
        <f>$G$28</f>
        <v>65.6625</v>
      </c>
      <c r="H178" s="143">
        <f>$H$28</f>
        <v>2.7</v>
      </c>
      <c r="I178" s="17">
        <f>(F178+G178+H178)*$I$3</f>
        <v>9.83625</v>
      </c>
      <c r="J178" s="18">
        <f>ROUND(SUM(F178:I178),2)</f>
        <v>108.2</v>
      </c>
      <c r="K178" s="19">
        <f>ROUND(J178*E178,2)</f>
        <v>1107.97</v>
      </c>
      <c r="L178" s="135"/>
      <c r="M178" s="136"/>
      <c r="N178" s="136"/>
      <c r="O178" s="136"/>
      <c r="P178" s="37">
        <f>Q178+Q178*R178+S178+T178+U178</f>
        <v>98.3625</v>
      </c>
      <c r="Q178" s="99">
        <f>$Q$28</f>
        <v>63.75</v>
      </c>
      <c r="R178" s="163">
        <f>$R$28</f>
        <v>0.03</v>
      </c>
      <c r="S178" s="99">
        <f>$S$28</f>
        <v>30</v>
      </c>
      <c r="T178" s="99">
        <f>$T$28</f>
        <v>2.5</v>
      </c>
      <c r="U178" s="99">
        <f>$U$28</f>
        <v>0.2</v>
      </c>
      <c r="V178" s="37">
        <f>P178*E178</f>
        <v>1007.232</v>
      </c>
      <c r="W178" s="139"/>
      <c r="X178" s="139"/>
      <c r="Y178" s="139"/>
      <c r="Z178" s="139"/>
      <c r="AA178" s="139"/>
      <c r="AB178" s="139"/>
      <c r="AC178" s="140"/>
      <c r="AD178" s="140"/>
    </row>
    <row r="179" s="119" customFormat="1" ht="72" customHeight="1" outlineLevel="2" spans="1:30">
      <c r="A179" s="162">
        <f>1+N(A178)</f>
        <v>5</v>
      </c>
      <c r="B179" s="14" t="s">
        <v>110</v>
      </c>
      <c r="C179" s="15" t="s">
        <v>111</v>
      </c>
      <c r="D179" s="142" t="s">
        <v>63</v>
      </c>
      <c r="E179" s="143">
        <v>32.785</v>
      </c>
      <c r="F179" s="143">
        <f>$F$29</f>
        <v>45</v>
      </c>
      <c r="G179" s="143">
        <f>$G$29</f>
        <v>85.5</v>
      </c>
      <c r="H179" s="143">
        <f>$H$29</f>
        <v>7.3</v>
      </c>
      <c r="I179" s="17">
        <f>(F179+G179+H179)*$I$3</f>
        <v>13.78</v>
      </c>
      <c r="J179" s="18">
        <f>ROUND(SUM(F179:I179),2)</f>
        <v>151.58</v>
      </c>
      <c r="K179" s="19">
        <f>ROUND(J179*E179,2)</f>
        <v>4969.55</v>
      </c>
      <c r="L179" s="135"/>
      <c r="M179" s="136"/>
      <c r="N179" s="136"/>
      <c r="O179" s="136"/>
      <c r="P179" s="37">
        <f>Q179+Q179*R179+S179+T179+U179</f>
        <v>137.8</v>
      </c>
      <c r="Q179" s="99">
        <f>$Q$29</f>
        <v>85.5</v>
      </c>
      <c r="R179" s="163">
        <f>$R$29</f>
        <v>0</v>
      </c>
      <c r="S179" s="99">
        <f>$S$29</f>
        <v>45</v>
      </c>
      <c r="T179" s="99">
        <f>$T$29</f>
        <v>6.5</v>
      </c>
      <c r="U179" s="99">
        <f>$U$29</f>
        <v>0.8</v>
      </c>
      <c r="V179" s="37">
        <f>P179*E179</f>
        <v>4517.773</v>
      </c>
      <c r="W179" s="139"/>
      <c r="X179" s="139"/>
      <c r="Y179" s="139"/>
      <c r="Z179" s="139"/>
      <c r="AA179" s="139"/>
      <c r="AB179" s="139"/>
      <c r="AC179" s="140"/>
      <c r="AD179" s="140"/>
    </row>
    <row r="180" s="119" customFormat="1" ht="24" customHeight="1" outlineLevel="1" spans="1:30">
      <c r="A180" s="141"/>
      <c r="B180" s="14" t="s">
        <v>112</v>
      </c>
      <c r="C180" s="15"/>
      <c r="D180" s="142"/>
      <c r="E180" s="143"/>
      <c r="F180" s="143"/>
      <c r="G180" s="143"/>
      <c r="H180" s="143"/>
      <c r="I180" s="143"/>
      <c r="J180" s="143"/>
      <c r="K180" s="144"/>
      <c r="L180" s="135"/>
      <c r="M180" s="136"/>
      <c r="N180" s="136"/>
      <c r="O180" s="136"/>
      <c r="P180" s="137"/>
      <c r="Q180" s="137"/>
      <c r="R180" s="138"/>
      <c r="S180" s="137"/>
      <c r="T180" s="137"/>
      <c r="U180" s="137"/>
      <c r="V180" s="137"/>
      <c r="W180" s="139"/>
      <c r="X180" s="139"/>
      <c r="Y180" s="139"/>
      <c r="Z180" s="139"/>
      <c r="AA180" s="139"/>
      <c r="AB180" s="139"/>
      <c r="AC180" s="140"/>
      <c r="AD180" s="140"/>
    </row>
    <row r="181" s="119" customFormat="1" ht="24" customHeight="1" outlineLevel="1" spans="1:30">
      <c r="A181" s="132" t="s">
        <v>139</v>
      </c>
      <c r="B181" s="8" t="s">
        <v>525</v>
      </c>
      <c r="C181" s="8"/>
      <c r="D181" s="133"/>
      <c r="E181" s="134"/>
      <c r="F181" s="134"/>
      <c r="G181" s="134"/>
      <c r="H181" s="134"/>
      <c r="I181" s="134"/>
      <c r="J181" s="134"/>
      <c r="K181" s="11"/>
      <c r="L181" s="135"/>
      <c r="M181" s="136"/>
      <c r="N181" s="136"/>
      <c r="O181" s="136"/>
      <c r="P181" s="137"/>
      <c r="Q181" s="137"/>
      <c r="R181" s="138"/>
      <c r="S181" s="137"/>
      <c r="T181" s="137"/>
      <c r="U181" s="137"/>
      <c r="V181" s="137"/>
      <c r="W181" s="139"/>
      <c r="X181" s="139"/>
      <c r="Y181" s="139"/>
      <c r="Z181" s="139"/>
      <c r="AA181" s="139"/>
      <c r="AB181" s="139"/>
      <c r="AC181" s="140"/>
      <c r="AD181" s="140"/>
    </row>
    <row r="182" s="119" customFormat="1" ht="24" customHeight="1" outlineLevel="1" spans="1:30">
      <c r="A182" s="141"/>
      <c r="B182" s="14" t="s">
        <v>60</v>
      </c>
      <c r="C182" s="15"/>
      <c r="D182" s="142"/>
      <c r="E182" s="143"/>
      <c r="F182" s="143"/>
      <c r="G182" s="143"/>
      <c r="H182" s="143"/>
      <c r="I182" s="143"/>
      <c r="J182" s="143"/>
      <c r="K182" s="144"/>
      <c r="L182" s="135"/>
      <c r="M182" s="136"/>
      <c r="N182" s="136"/>
      <c r="O182" s="136"/>
      <c r="P182" s="137"/>
      <c r="Q182" s="137"/>
      <c r="R182" s="138"/>
      <c r="S182" s="137"/>
      <c r="T182" s="137"/>
      <c r="U182" s="137"/>
      <c r="V182" s="137"/>
      <c r="W182" s="139"/>
      <c r="X182" s="139"/>
      <c r="Y182" s="139"/>
      <c r="Z182" s="139"/>
      <c r="AA182" s="139"/>
      <c r="AB182" s="139"/>
      <c r="AC182" s="140"/>
      <c r="AD182" s="140"/>
    </row>
    <row r="183" s="119" customFormat="1" ht="96" customHeight="1" outlineLevel="2" spans="1:30">
      <c r="A183" s="162">
        <f>1+N(A182)</f>
        <v>1</v>
      </c>
      <c r="B183" s="14" t="s">
        <v>61</v>
      </c>
      <c r="C183" s="15" t="s">
        <v>62</v>
      </c>
      <c r="D183" s="142" t="s">
        <v>63</v>
      </c>
      <c r="E183" s="143">
        <v>3.947</v>
      </c>
      <c r="F183" s="143">
        <f>$F$7</f>
        <v>130</v>
      </c>
      <c r="G183" s="143">
        <f>$G$7</f>
        <v>628.3</v>
      </c>
      <c r="H183" s="17">
        <f>$H$7</f>
        <v>47.7</v>
      </c>
      <c r="I183" s="17">
        <f>(F183+G183+H183)*$I$3</f>
        <v>80.6</v>
      </c>
      <c r="J183" s="18">
        <f>ROUND(SUM(F183:I183),2)</f>
        <v>886.6</v>
      </c>
      <c r="K183" s="19">
        <f>ROUND(J183*E183,2)</f>
        <v>3499.41</v>
      </c>
      <c r="L183" s="135"/>
      <c r="M183" s="136"/>
      <c r="N183" s="136"/>
      <c r="O183" s="136"/>
      <c r="P183" s="137">
        <f>Q183+Q183*R183+S183+T183+U183</f>
        <v>806</v>
      </c>
      <c r="Q183" s="99">
        <f>$Q$7</f>
        <v>610</v>
      </c>
      <c r="R183" s="163">
        <f>$R$7</f>
        <v>0.03</v>
      </c>
      <c r="S183" s="99">
        <f>$S$7</f>
        <v>130</v>
      </c>
      <c r="T183" s="99">
        <f>$T$7</f>
        <v>46.2</v>
      </c>
      <c r="U183" s="99">
        <f>$U$7</f>
        <v>1.5</v>
      </c>
      <c r="V183" s="37">
        <f>P183*E183</f>
        <v>3181.282</v>
      </c>
      <c r="W183" s="139"/>
      <c r="X183" s="139"/>
      <c r="Y183" s="139"/>
      <c r="Z183" s="139"/>
      <c r="AA183" s="139"/>
      <c r="AB183" s="139"/>
      <c r="AC183" s="140"/>
      <c r="AD183" s="140"/>
    </row>
    <row r="184" s="119" customFormat="1" ht="108" customHeight="1" outlineLevel="2" spans="1:30">
      <c r="A184" s="162">
        <f>1+N(A183)</f>
        <v>2</v>
      </c>
      <c r="B184" s="14" t="s">
        <v>64</v>
      </c>
      <c r="C184" s="15" t="s">
        <v>65</v>
      </c>
      <c r="D184" s="142" t="s">
        <v>63</v>
      </c>
      <c r="E184" s="143">
        <v>13.025</v>
      </c>
      <c r="F184" s="143">
        <f>$F$8</f>
        <v>130</v>
      </c>
      <c r="G184" s="143">
        <f>$G$8</f>
        <v>854.9</v>
      </c>
      <c r="H184" s="143">
        <f>$H$8</f>
        <v>47.7</v>
      </c>
      <c r="I184" s="17">
        <f>(F184+G184+H184)*$I$3</f>
        <v>103.26</v>
      </c>
      <c r="J184" s="18">
        <f>ROUND(SUM(F184:I184),2)</f>
        <v>1135.86</v>
      </c>
      <c r="K184" s="19">
        <f>ROUND(J184*E184,2)</f>
        <v>14794.58</v>
      </c>
      <c r="L184" s="135"/>
      <c r="M184" s="136"/>
      <c r="N184" s="136"/>
      <c r="O184" s="136"/>
      <c r="P184" s="137">
        <f>Q184+Q184*R184+S184+T184+U184</f>
        <v>1032.6</v>
      </c>
      <c r="Q184" s="99">
        <f>$Q$8</f>
        <v>830</v>
      </c>
      <c r="R184" s="163">
        <f>$R$8</f>
        <v>0.03</v>
      </c>
      <c r="S184" s="99">
        <f>$S$8</f>
        <v>130</v>
      </c>
      <c r="T184" s="99">
        <f>$T$8</f>
        <v>46.2</v>
      </c>
      <c r="U184" s="99">
        <f>$U$8</f>
        <v>1.5</v>
      </c>
      <c r="V184" s="37">
        <f>P184*E184</f>
        <v>13449.615</v>
      </c>
      <c r="W184" s="139"/>
      <c r="X184" s="139"/>
      <c r="Y184" s="139"/>
      <c r="Z184" s="139"/>
      <c r="AA184" s="139"/>
      <c r="AB184" s="139"/>
      <c r="AC184" s="140"/>
      <c r="AD184" s="140"/>
    </row>
    <row r="185" s="119" customFormat="1" ht="36" customHeight="1" outlineLevel="2" spans="1:30">
      <c r="A185" s="162">
        <f>1+N(A184)</f>
        <v>3</v>
      </c>
      <c r="B185" s="14" t="s">
        <v>68</v>
      </c>
      <c r="C185" s="15" t="s">
        <v>69</v>
      </c>
      <c r="D185" s="142" t="s">
        <v>70</v>
      </c>
      <c r="E185" s="143">
        <v>14.566</v>
      </c>
      <c r="F185" s="143">
        <f>$F$9</f>
        <v>12</v>
      </c>
      <c r="G185" s="143">
        <f>$G$9</f>
        <v>19.57</v>
      </c>
      <c r="H185" s="143">
        <f>$H$9</f>
        <v>0.5</v>
      </c>
      <c r="I185" s="17">
        <f>(F185+G185+H185)*$I$3</f>
        <v>3.207</v>
      </c>
      <c r="J185" s="18">
        <f>ROUND(SUM(F185:I185),2)</f>
        <v>35.28</v>
      </c>
      <c r="K185" s="19">
        <f>ROUND(J185*E185,2)</f>
        <v>513.89</v>
      </c>
      <c r="L185" s="135"/>
      <c r="M185" s="136"/>
      <c r="N185" s="136"/>
      <c r="O185" s="136"/>
      <c r="P185" s="37">
        <f>Q185+Q185*R185+S185+T185+U185</f>
        <v>32.07</v>
      </c>
      <c r="Q185" s="99">
        <f>$Q$9</f>
        <v>19</v>
      </c>
      <c r="R185" s="163">
        <f>$R$9</f>
        <v>0.03</v>
      </c>
      <c r="S185" s="99">
        <f>$S$9</f>
        <v>12</v>
      </c>
      <c r="T185" s="99">
        <f>$T$9</f>
        <v>0.3</v>
      </c>
      <c r="U185" s="99">
        <f>$U$9</f>
        <v>0.2</v>
      </c>
      <c r="V185" s="37">
        <f>P185*E185</f>
        <v>467.13162</v>
      </c>
      <c r="W185" s="139"/>
      <c r="X185" s="139"/>
      <c r="Y185" s="139"/>
      <c r="Z185" s="139"/>
      <c r="AA185" s="139"/>
      <c r="AB185" s="139"/>
      <c r="AC185" s="140"/>
      <c r="AD185" s="140"/>
    </row>
    <row r="186" s="119" customFormat="1" ht="48" customHeight="1" outlineLevel="2" spans="1:30">
      <c r="A186" s="162">
        <f>1+N(A185)</f>
        <v>4</v>
      </c>
      <c r="B186" s="14" t="s">
        <v>71</v>
      </c>
      <c r="C186" s="15" t="s">
        <v>72</v>
      </c>
      <c r="D186" s="142" t="s">
        <v>63</v>
      </c>
      <c r="E186" s="143">
        <f>+E183+E184</f>
        <v>16.972</v>
      </c>
      <c r="F186" s="143">
        <f>$F$10</f>
        <v>40</v>
      </c>
      <c r="G186" s="143">
        <f>$G$10</f>
        <v>15</v>
      </c>
      <c r="H186" s="143">
        <f>$H$10</f>
        <v>0.8</v>
      </c>
      <c r="I186" s="17">
        <f>(F186+G186+H186)*$I$3</f>
        <v>5.58</v>
      </c>
      <c r="J186" s="18">
        <f>ROUND(SUM(F186:I186),2)</f>
        <v>61.38</v>
      </c>
      <c r="K186" s="19">
        <f>ROUND(J186*E186,2)</f>
        <v>1041.74</v>
      </c>
      <c r="L186" s="135"/>
      <c r="M186" s="136"/>
      <c r="N186" s="136"/>
      <c r="O186" s="136"/>
      <c r="P186" s="37">
        <f>Q186+Q186*R186+S186+T186+U186</f>
        <v>55.8</v>
      </c>
      <c r="Q186" s="99">
        <f>$Q$10</f>
        <v>15</v>
      </c>
      <c r="R186" s="163">
        <f>$R$10</f>
        <v>0</v>
      </c>
      <c r="S186" s="99">
        <f>$S$10</f>
        <v>40</v>
      </c>
      <c r="T186" s="99">
        <f>$T$10</f>
        <v>0.5</v>
      </c>
      <c r="U186" s="99">
        <f>$U$10</f>
        <v>0.3</v>
      </c>
      <c r="V186" s="37">
        <f>P186*E186</f>
        <v>947.0376</v>
      </c>
      <c r="W186" s="139"/>
      <c r="X186" s="139"/>
      <c r="Y186" s="139"/>
      <c r="Z186" s="139"/>
      <c r="AA186" s="139"/>
      <c r="AB186" s="139"/>
      <c r="AC186" s="140"/>
      <c r="AD186" s="140"/>
    </row>
    <row r="187" s="119" customFormat="1" ht="24" customHeight="1" outlineLevel="1" spans="1:30">
      <c r="A187" s="141"/>
      <c r="B187" s="14" t="s">
        <v>494</v>
      </c>
      <c r="C187" s="15"/>
      <c r="D187" s="142"/>
      <c r="E187" s="143"/>
      <c r="F187" s="143"/>
      <c r="G187" s="143"/>
      <c r="H187" s="143"/>
      <c r="I187" s="143"/>
      <c r="J187" s="143"/>
      <c r="K187" s="144"/>
      <c r="L187" s="135"/>
      <c r="M187" s="136"/>
      <c r="N187" s="136"/>
      <c r="O187" s="136"/>
      <c r="P187" s="137"/>
      <c r="Q187" s="137"/>
      <c r="R187" s="138"/>
      <c r="S187" s="137"/>
      <c r="T187" s="137"/>
      <c r="U187" s="137"/>
      <c r="V187" s="137"/>
      <c r="W187" s="139"/>
      <c r="X187" s="139"/>
      <c r="Y187" s="139"/>
      <c r="Z187" s="139"/>
      <c r="AA187" s="139"/>
      <c r="AB187" s="139"/>
      <c r="AC187" s="140"/>
      <c r="AD187" s="140"/>
    </row>
    <row r="188" s="119" customFormat="1" ht="72" customHeight="1" outlineLevel="2" spans="1:30">
      <c r="A188" s="162">
        <f t="shared" ref="A188:A196" si="45">1+N(A187)</f>
        <v>1</v>
      </c>
      <c r="B188" s="164" t="s">
        <v>74</v>
      </c>
      <c r="C188" s="15" t="s">
        <v>75</v>
      </c>
      <c r="D188" s="142" t="s">
        <v>63</v>
      </c>
      <c r="E188" s="143">
        <v>5.319</v>
      </c>
      <c r="F188" s="143">
        <f>$F$12</f>
        <v>95</v>
      </c>
      <c r="G188" s="143">
        <f>$G$12</f>
        <v>813.75</v>
      </c>
      <c r="H188" s="143">
        <f>$H$12</f>
        <v>18.3</v>
      </c>
      <c r="I188" s="17">
        <f t="shared" ref="I188:I196" si="46">(F188+G188+H188)*$I$3</f>
        <v>92.705</v>
      </c>
      <c r="J188" s="18">
        <f t="shared" ref="J188:J196" si="47">ROUND(SUM(F188:I188),2)</f>
        <v>1019.76</v>
      </c>
      <c r="K188" s="19">
        <f t="shared" ref="K188:K196" si="48">ROUND(J188*E188,2)</f>
        <v>5424.1</v>
      </c>
      <c r="L188" s="135"/>
      <c r="M188" s="136"/>
      <c r="N188" s="136"/>
      <c r="O188" s="136"/>
      <c r="P188" s="37">
        <f t="shared" ref="P188:P196" si="49">Q188+Q188*R188+S188+T188+U188</f>
        <v>927.05</v>
      </c>
      <c r="Q188" s="99">
        <f>$Q$12</f>
        <v>775</v>
      </c>
      <c r="R188" s="163">
        <f>$R$12</f>
        <v>0.05</v>
      </c>
      <c r="S188" s="99">
        <f>$S$12</f>
        <v>95</v>
      </c>
      <c r="T188" s="99">
        <f>$T$12</f>
        <v>16.8</v>
      </c>
      <c r="U188" s="99">
        <f>$U$12</f>
        <v>1.5</v>
      </c>
      <c r="V188" s="37">
        <f t="shared" ref="V188:V196" si="50">P188*E188</f>
        <v>4930.97895</v>
      </c>
      <c r="W188" s="139"/>
      <c r="X188" s="139"/>
      <c r="Y188" s="139"/>
      <c r="Z188" s="139"/>
      <c r="AA188" s="139"/>
      <c r="AB188" s="139"/>
      <c r="AC188" s="140"/>
      <c r="AD188" s="140"/>
    </row>
    <row r="189" s="119" customFormat="1" ht="96" customHeight="1" outlineLevel="2" spans="1:30">
      <c r="A189" s="162">
        <f t="shared" si="45"/>
        <v>2</v>
      </c>
      <c r="B189" s="165" t="s">
        <v>76</v>
      </c>
      <c r="C189" s="166" t="s">
        <v>77</v>
      </c>
      <c r="D189" s="142" t="s">
        <v>63</v>
      </c>
      <c r="E189" s="143">
        <v>22.236</v>
      </c>
      <c r="F189" s="143">
        <f>$F$13</f>
        <v>145</v>
      </c>
      <c r="G189" s="143">
        <f>$G$13</f>
        <v>651</v>
      </c>
      <c r="H189" s="143">
        <f>$H$13</f>
        <v>113.55</v>
      </c>
      <c r="I189" s="17">
        <f t="shared" si="46"/>
        <v>90.955</v>
      </c>
      <c r="J189" s="18">
        <f t="shared" si="47"/>
        <v>1000.51</v>
      </c>
      <c r="K189" s="19">
        <f t="shared" si="48"/>
        <v>22247.34</v>
      </c>
      <c r="L189" s="135"/>
      <c r="M189" s="136"/>
      <c r="N189" s="136"/>
      <c r="O189" s="136"/>
      <c r="P189" s="37">
        <f t="shared" si="49"/>
        <v>909.55</v>
      </c>
      <c r="Q189" s="99">
        <f>$Q$13</f>
        <v>620</v>
      </c>
      <c r="R189" s="163">
        <f>$R$13</f>
        <v>0.05</v>
      </c>
      <c r="S189" s="99">
        <f>$S$13</f>
        <v>145</v>
      </c>
      <c r="T189" s="99">
        <f>$T$13</f>
        <v>111.75</v>
      </c>
      <c r="U189" s="99">
        <f>$U$13</f>
        <v>1.8</v>
      </c>
      <c r="V189" s="37">
        <f t="shared" si="50"/>
        <v>20224.7538</v>
      </c>
      <c r="W189" s="139"/>
      <c r="X189" s="139"/>
      <c r="Y189" s="139"/>
      <c r="Z189" s="139"/>
      <c r="AA189" s="139"/>
      <c r="AB189" s="139"/>
      <c r="AC189" s="140"/>
      <c r="AD189" s="140"/>
    </row>
    <row r="190" s="119" customFormat="1" ht="60" customHeight="1" outlineLevel="2" spans="1:30">
      <c r="A190" s="162">
        <f t="shared" si="45"/>
        <v>3</v>
      </c>
      <c r="B190" s="14" t="s">
        <v>226</v>
      </c>
      <c r="C190" s="15" t="s">
        <v>225</v>
      </c>
      <c r="D190" s="142" t="s">
        <v>63</v>
      </c>
      <c r="E190" s="143">
        <v>1.901</v>
      </c>
      <c r="F190" s="143">
        <f>$F$14</f>
        <v>35</v>
      </c>
      <c r="G190" s="143">
        <f>$G$14</f>
        <v>346.08</v>
      </c>
      <c r="H190" s="143">
        <f>$H$14</f>
        <v>54.7</v>
      </c>
      <c r="I190" s="17">
        <f t="shared" si="46"/>
        <v>43.578</v>
      </c>
      <c r="J190" s="18">
        <f t="shared" si="47"/>
        <v>479.36</v>
      </c>
      <c r="K190" s="19">
        <f t="shared" si="48"/>
        <v>911.26</v>
      </c>
      <c r="L190" s="135"/>
      <c r="M190" s="136"/>
      <c r="N190" s="136"/>
      <c r="O190" s="136"/>
      <c r="P190" s="37">
        <f t="shared" si="49"/>
        <v>435.78</v>
      </c>
      <c r="Q190" s="99">
        <f>$Q$14</f>
        <v>336</v>
      </c>
      <c r="R190" s="163">
        <f>$R$14</f>
        <v>0.03</v>
      </c>
      <c r="S190" s="99">
        <f>$S$14</f>
        <v>35</v>
      </c>
      <c r="T190" s="99">
        <f>$T$14</f>
        <v>53.5</v>
      </c>
      <c r="U190" s="99">
        <f>$U$14</f>
        <v>1.2</v>
      </c>
      <c r="V190" s="37">
        <f t="shared" si="50"/>
        <v>828.41778</v>
      </c>
      <c r="W190" s="139"/>
      <c r="X190" s="139"/>
      <c r="Y190" s="139"/>
      <c r="Z190" s="139"/>
      <c r="AA190" s="139"/>
      <c r="AB190" s="139"/>
      <c r="AC190" s="140"/>
      <c r="AD190" s="140"/>
    </row>
    <row r="191" s="119" customFormat="1" ht="48" customHeight="1" outlineLevel="2" spans="1:30">
      <c r="A191" s="162">
        <f t="shared" si="45"/>
        <v>4</v>
      </c>
      <c r="B191" s="165" t="s">
        <v>84</v>
      </c>
      <c r="C191" s="166" t="s">
        <v>83</v>
      </c>
      <c r="D191" s="165" t="s">
        <v>63</v>
      </c>
      <c r="E191" s="143">
        <f>0.34*2.5*2*2</f>
        <v>3.4</v>
      </c>
      <c r="F191" s="143">
        <f>$F$17</f>
        <v>110</v>
      </c>
      <c r="G191" s="143">
        <f>$G$17</f>
        <v>454.5</v>
      </c>
      <c r="H191" s="143">
        <f>$H$17</f>
        <v>55.2</v>
      </c>
      <c r="I191" s="17">
        <f t="shared" si="46"/>
        <v>61.97</v>
      </c>
      <c r="J191" s="18">
        <f t="shared" si="47"/>
        <v>681.67</v>
      </c>
      <c r="K191" s="19">
        <f t="shared" si="48"/>
        <v>2317.68</v>
      </c>
      <c r="L191" s="135"/>
      <c r="M191" s="136"/>
      <c r="N191" s="136"/>
      <c r="O191" s="136"/>
      <c r="P191" s="37">
        <f t="shared" si="49"/>
        <v>619.7</v>
      </c>
      <c r="Q191" s="99">
        <f>$Q$17</f>
        <v>450</v>
      </c>
      <c r="R191" s="163">
        <f>$R$17</f>
        <v>0.01</v>
      </c>
      <c r="S191" s="99">
        <f>$S$17</f>
        <v>110</v>
      </c>
      <c r="T191" s="99">
        <f>$T$17</f>
        <v>54</v>
      </c>
      <c r="U191" s="99">
        <f>$U$17</f>
        <v>1.2</v>
      </c>
      <c r="V191" s="37">
        <f t="shared" si="50"/>
        <v>2106.98</v>
      </c>
      <c r="W191" s="139"/>
      <c r="X191" s="139"/>
      <c r="Y191" s="139"/>
      <c r="Z191" s="139"/>
      <c r="AA191" s="139"/>
      <c r="AB191" s="139"/>
      <c r="AC191" s="140"/>
      <c r="AD191" s="140"/>
    </row>
    <row r="192" s="119" customFormat="1" ht="60" customHeight="1" outlineLevel="2" spans="1:30">
      <c r="A192" s="162">
        <f t="shared" si="45"/>
        <v>5</v>
      </c>
      <c r="B192" s="165" t="s">
        <v>85</v>
      </c>
      <c r="C192" s="166" t="s">
        <v>86</v>
      </c>
      <c r="D192" s="165" t="s">
        <v>63</v>
      </c>
      <c r="E192" s="143">
        <f>+(0.061+0.22+0.114+0.074)*0.95*2</f>
        <v>0.8911</v>
      </c>
      <c r="F192" s="143">
        <f>$F$18</f>
        <v>110</v>
      </c>
      <c r="G192" s="143">
        <f>$G$18</f>
        <v>454.5</v>
      </c>
      <c r="H192" s="143">
        <f>$H$18</f>
        <v>55.2</v>
      </c>
      <c r="I192" s="17">
        <f t="shared" si="46"/>
        <v>61.97</v>
      </c>
      <c r="J192" s="18">
        <f t="shared" si="47"/>
        <v>681.67</v>
      </c>
      <c r="K192" s="19">
        <f t="shared" si="48"/>
        <v>607.44</v>
      </c>
      <c r="L192" s="135"/>
      <c r="M192" s="136"/>
      <c r="N192" s="136"/>
      <c r="O192" s="136"/>
      <c r="P192" s="37">
        <f t="shared" si="49"/>
        <v>619.7</v>
      </c>
      <c r="Q192" s="99">
        <f>$Q$18</f>
        <v>450</v>
      </c>
      <c r="R192" s="163">
        <f>$R$18</f>
        <v>0.01</v>
      </c>
      <c r="S192" s="99">
        <f>$S$18</f>
        <v>110</v>
      </c>
      <c r="T192" s="99">
        <f>$T$18</f>
        <v>54</v>
      </c>
      <c r="U192" s="99">
        <f>$U$18</f>
        <v>1.2</v>
      </c>
      <c r="V192" s="37">
        <f t="shared" si="50"/>
        <v>552.21467</v>
      </c>
      <c r="W192" s="139"/>
      <c r="X192" s="139"/>
      <c r="Y192" s="139"/>
      <c r="Z192" s="139"/>
      <c r="AA192" s="139"/>
      <c r="AB192" s="139"/>
      <c r="AC192" s="140"/>
      <c r="AD192" s="140"/>
    </row>
    <row r="193" s="119" customFormat="1" ht="48" customHeight="1" outlineLevel="2" spans="1:30">
      <c r="A193" s="162">
        <f t="shared" si="45"/>
        <v>6</v>
      </c>
      <c r="B193" s="165" t="s">
        <v>87</v>
      </c>
      <c r="C193" s="166" t="s">
        <v>88</v>
      </c>
      <c r="D193" s="165" t="s">
        <v>63</v>
      </c>
      <c r="E193" s="143">
        <v>0.253</v>
      </c>
      <c r="F193" s="143">
        <f>$F$19</f>
        <v>110</v>
      </c>
      <c r="G193" s="143">
        <f>$G$19</f>
        <v>454.5</v>
      </c>
      <c r="H193" s="143">
        <f>$H$19</f>
        <v>55.2</v>
      </c>
      <c r="I193" s="17">
        <f t="shared" si="46"/>
        <v>61.97</v>
      </c>
      <c r="J193" s="18">
        <f t="shared" si="47"/>
        <v>681.67</v>
      </c>
      <c r="K193" s="19">
        <f t="shared" si="48"/>
        <v>172.46</v>
      </c>
      <c r="L193" s="135"/>
      <c r="M193" s="136"/>
      <c r="N193" s="136"/>
      <c r="O193" s="136"/>
      <c r="P193" s="37">
        <f t="shared" si="49"/>
        <v>619.7</v>
      </c>
      <c r="Q193" s="99">
        <f>$Q$19</f>
        <v>450</v>
      </c>
      <c r="R193" s="163">
        <f>$R$19</f>
        <v>0.01</v>
      </c>
      <c r="S193" s="99">
        <f>$S$19</f>
        <v>110</v>
      </c>
      <c r="T193" s="99">
        <f>$T$19</f>
        <v>54</v>
      </c>
      <c r="U193" s="99">
        <f>$U$19</f>
        <v>1.2</v>
      </c>
      <c r="V193" s="37">
        <f t="shared" si="50"/>
        <v>156.7841</v>
      </c>
      <c r="W193" s="139"/>
      <c r="X193" s="139"/>
      <c r="Y193" s="139"/>
      <c r="Z193" s="139"/>
      <c r="AA193" s="139"/>
      <c r="AB193" s="139"/>
      <c r="AC193" s="140"/>
      <c r="AD193" s="140"/>
    </row>
    <row r="194" s="119" customFormat="1" ht="48" customHeight="1" outlineLevel="2" spans="1:30">
      <c r="A194" s="162">
        <f t="shared" si="45"/>
        <v>7</v>
      </c>
      <c r="B194" s="165" t="s">
        <v>91</v>
      </c>
      <c r="C194" s="166" t="s">
        <v>92</v>
      </c>
      <c r="D194" s="165" t="s">
        <v>70</v>
      </c>
      <c r="E194" s="143">
        <v>11.965</v>
      </c>
      <c r="F194" s="143">
        <f>$F$20</f>
        <v>12</v>
      </c>
      <c r="G194" s="143">
        <f>$G$20</f>
        <v>25.75</v>
      </c>
      <c r="H194" s="143">
        <f>$H$20</f>
        <v>3.8</v>
      </c>
      <c r="I194" s="17">
        <f t="shared" si="46"/>
        <v>4.155</v>
      </c>
      <c r="J194" s="18">
        <f t="shared" si="47"/>
        <v>45.71</v>
      </c>
      <c r="K194" s="19">
        <f t="shared" si="48"/>
        <v>546.92</v>
      </c>
      <c r="L194" s="135"/>
      <c r="M194" s="136"/>
      <c r="N194" s="136"/>
      <c r="O194" s="136"/>
      <c r="P194" s="37">
        <f t="shared" si="49"/>
        <v>41.55</v>
      </c>
      <c r="Q194" s="99">
        <f>$Q$20</f>
        <v>25</v>
      </c>
      <c r="R194" s="163">
        <f>$R$20</f>
        <v>0.03</v>
      </c>
      <c r="S194" s="99">
        <f>$S$20</f>
        <v>12</v>
      </c>
      <c r="T194" s="99">
        <f>$T$20</f>
        <v>3.5</v>
      </c>
      <c r="U194" s="99">
        <f>$U$20</f>
        <v>0.3</v>
      </c>
      <c r="V194" s="37">
        <f t="shared" si="50"/>
        <v>497.14575</v>
      </c>
      <c r="W194" s="139"/>
      <c r="X194" s="139"/>
      <c r="Y194" s="139"/>
      <c r="Z194" s="139"/>
      <c r="AA194" s="139"/>
      <c r="AB194" s="139"/>
      <c r="AC194" s="140"/>
      <c r="AD194" s="140"/>
    </row>
    <row r="195" s="119" customFormat="1" ht="48" customHeight="1" outlineLevel="2" spans="1:30">
      <c r="A195" s="162">
        <f t="shared" si="45"/>
        <v>8</v>
      </c>
      <c r="B195" s="165" t="s">
        <v>97</v>
      </c>
      <c r="C195" s="166" t="s">
        <v>98</v>
      </c>
      <c r="D195" s="165" t="s">
        <v>70</v>
      </c>
      <c r="E195" s="143">
        <v>9.414</v>
      </c>
      <c r="F195" s="143">
        <f>$F$22</f>
        <v>22</v>
      </c>
      <c r="G195" s="143">
        <f>$G$22</f>
        <v>58.195</v>
      </c>
      <c r="H195" s="143">
        <f>$H$22</f>
        <v>6.3</v>
      </c>
      <c r="I195" s="17">
        <f t="shared" si="46"/>
        <v>8.6495</v>
      </c>
      <c r="J195" s="18">
        <f t="shared" si="47"/>
        <v>95.14</v>
      </c>
      <c r="K195" s="19">
        <f t="shared" si="48"/>
        <v>895.65</v>
      </c>
      <c r="L195" s="135"/>
      <c r="M195" s="136"/>
      <c r="N195" s="136"/>
      <c r="O195" s="136"/>
      <c r="P195" s="37">
        <f t="shared" si="49"/>
        <v>86.495</v>
      </c>
      <c r="Q195" s="99">
        <f>$Q$22</f>
        <v>56.5</v>
      </c>
      <c r="R195" s="163">
        <f>$R$22</f>
        <v>0.03</v>
      </c>
      <c r="S195" s="99">
        <f>$S$22</f>
        <v>22</v>
      </c>
      <c r="T195" s="99">
        <f>$T$22</f>
        <v>6</v>
      </c>
      <c r="U195" s="99">
        <f>$U$22</f>
        <v>0.3</v>
      </c>
      <c r="V195" s="37">
        <f t="shared" si="50"/>
        <v>814.26393</v>
      </c>
      <c r="W195" s="139"/>
      <c r="X195" s="139"/>
      <c r="Y195" s="139"/>
      <c r="Z195" s="139"/>
      <c r="AA195" s="139"/>
      <c r="AB195" s="139"/>
      <c r="AC195" s="140"/>
      <c r="AD195" s="140"/>
    </row>
    <row r="196" s="119" customFormat="1" ht="48" customHeight="1" outlineLevel="2" spans="1:30">
      <c r="A196" s="162">
        <f t="shared" si="45"/>
        <v>9</v>
      </c>
      <c r="B196" s="165" t="s">
        <v>99</v>
      </c>
      <c r="C196" s="166" t="s">
        <v>100</v>
      </c>
      <c r="D196" s="165" t="s">
        <v>70</v>
      </c>
      <c r="E196" s="143">
        <v>12.798</v>
      </c>
      <c r="F196" s="143">
        <f>$F$23</f>
        <v>12</v>
      </c>
      <c r="G196" s="143">
        <f>$G$23</f>
        <v>23.4325</v>
      </c>
      <c r="H196" s="143">
        <f>$H$23</f>
        <v>3.8</v>
      </c>
      <c r="I196" s="17">
        <f t="shared" si="46"/>
        <v>3.92325</v>
      </c>
      <c r="J196" s="18">
        <f t="shared" si="47"/>
        <v>43.16</v>
      </c>
      <c r="K196" s="19">
        <f t="shared" si="48"/>
        <v>552.36</v>
      </c>
      <c r="L196" s="135"/>
      <c r="M196" s="136"/>
      <c r="N196" s="136"/>
      <c r="O196" s="136"/>
      <c r="P196" s="37">
        <f t="shared" si="49"/>
        <v>39.2325</v>
      </c>
      <c r="Q196" s="99">
        <f>$Q$23</f>
        <v>22.75</v>
      </c>
      <c r="R196" s="163">
        <f>$R$23</f>
        <v>0.03</v>
      </c>
      <c r="S196" s="99">
        <f>$S$23</f>
        <v>12</v>
      </c>
      <c r="T196" s="99">
        <f>$T$23</f>
        <v>3.5</v>
      </c>
      <c r="U196" s="99">
        <f>$U$23</f>
        <v>0.3</v>
      </c>
      <c r="V196" s="37">
        <f t="shared" si="50"/>
        <v>502.097535</v>
      </c>
      <c r="W196" s="139"/>
      <c r="X196" s="139"/>
      <c r="Y196" s="139"/>
      <c r="Z196" s="139"/>
      <c r="AA196" s="139"/>
      <c r="AB196" s="139"/>
      <c r="AC196" s="140"/>
      <c r="AD196" s="140"/>
    </row>
    <row r="197" s="119" customFormat="1" ht="24" customHeight="1" outlineLevel="1" spans="1:30">
      <c r="A197" s="141"/>
      <c r="B197" s="14" t="s">
        <v>101</v>
      </c>
      <c r="C197" s="15"/>
      <c r="D197" s="142"/>
      <c r="E197" s="143"/>
      <c r="F197" s="143"/>
      <c r="G197" s="143"/>
      <c r="H197" s="143"/>
      <c r="I197" s="143"/>
      <c r="J197" s="143"/>
      <c r="K197" s="144"/>
      <c r="L197" s="135"/>
      <c r="M197" s="136"/>
      <c r="N197" s="136"/>
      <c r="O197" s="136"/>
      <c r="P197" s="137"/>
      <c r="Q197" s="137"/>
      <c r="R197" s="138"/>
      <c r="S197" s="137"/>
      <c r="T197" s="137"/>
      <c r="U197" s="137"/>
      <c r="V197" s="137"/>
      <c r="W197" s="139"/>
      <c r="X197" s="139"/>
      <c r="Y197" s="139"/>
      <c r="Z197" s="139"/>
      <c r="AA197" s="139"/>
      <c r="AB197" s="139"/>
      <c r="AC197" s="140"/>
      <c r="AD197" s="140"/>
    </row>
    <row r="198" s="119" customFormat="1" ht="96" customHeight="1" outlineLevel="2" spans="1:30">
      <c r="A198" s="162">
        <f>1+N(A197)</f>
        <v>1</v>
      </c>
      <c r="B198" s="14" t="s">
        <v>460</v>
      </c>
      <c r="C198" s="167" t="s">
        <v>103</v>
      </c>
      <c r="D198" s="142" t="s">
        <v>63</v>
      </c>
      <c r="E198" s="143">
        <v>17.826</v>
      </c>
      <c r="F198" s="143">
        <f>$F$25</f>
        <v>70</v>
      </c>
      <c r="G198" s="143">
        <f>$G$25</f>
        <v>0</v>
      </c>
      <c r="H198" s="143">
        <f>$H$25</f>
        <v>66.711</v>
      </c>
      <c r="I198" s="17">
        <f>(F198+G198+H198)*$I$3</f>
        <v>13.6711</v>
      </c>
      <c r="J198" s="18">
        <f>ROUND(SUM(F198:I198),2)</f>
        <v>150.38</v>
      </c>
      <c r="K198" s="19">
        <f>ROUND(J198*E198,2)</f>
        <v>2680.67</v>
      </c>
      <c r="L198" s="135"/>
      <c r="M198" s="136"/>
      <c r="N198" s="136"/>
      <c r="O198" s="136"/>
      <c r="P198" s="37">
        <f>Q198+Q198*R198+S198+T198+U198</f>
        <v>136.711</v>
      </c>
      <c r="Q198" s="99">
        <f>$Q$25</f>
        <v>0</v>
      </c>
      <c r="R198" s="163">
        <f>$R$25</f>
        <v>0.01</v>
      </c>
      <c r="S198" s="99">
        <f>$S$25</f>
        <v>70</v>
      </c>
      <c r="T198" s="99">
        <f>$T$25</f>
        <v>64.711</v>
      </c>
      <c r="U198" s="99">
        <f>$U$25</f>
        <v>2</v>
      </c>
      <c r="V198" s="37">
        <f>P198*E198</f>
        <v>2437.010286</v>
      </c>
      <c r="W198" s="139"/>
      <c r="X198" s="139"/>
      <c r="Y198" s="139"/>
      <c r="Z198" s="139"/>
      <c r="AA198" s="139"/>
      <c r="AB198" s="139"/>
      <c r="AC198" s="140"/>
      <c r="AD198" s="140"/>
    </row>
    <row r="199" s="119" customFormat="1" ht="72" customHeight="1" outlineLevel="2" spans="1:30">
      <c r="A199" s="162">
        <f>1+N(A198)</f>
        <v>2</v>
      </c>
      <c r="B199" s="14" t="s">
        <v>104</v>
      </c>
      <c r="C199" s="167" t="s">
        <v>105</v>
      </c>
      <c r="D199" s="142" t="s">
        <v>70</v>
      </c>
      <c r="E199" s="143">
        <v>14.582</v>
      </c>
      <c r="F199" s="143">
        <f>$F$127</f>
        <v>50</v>
      </c>
      <c r="G199" s="143">
        <f>$G$127</f>
        <v>0</v>
      </c>
      <c r="H199" s="143">
        <f>$H$127</f>
        <v>22.0941</v>
      </c>
      <c r="I199" s="17">
        <f>(F199+G199+H199)*$I$3</f>
        <v>7.20941</v>
      </c>
      <c r="J199" s="18">
        <f>ROUND(SUM(F199:I199),2)</f>
        <v>79.3</v>
      </c>
      <c r="K199" s="19">
        <f>ROUND(J199*E199,2)</f>
        <v>1156.35</v>
      </c>
      <c r="L199" s="135"/>
      <c r="M199" s="136"/>
      <c r="N199" s="136"/>
      <c r="O199" s="136"/>
      <c r="P199" s="37">
        <f>Q199+Q199*R199+S199+T199+U199</f>
        <v>72.0941</v>
      </c>
      <c r="Q199" s="99">
        <f>$Q$127</f>
        <v>0</v>
      </c>
      <c r="R199" s="163">
        <f>$R$127</f>
        <v>0.01</v>
      </c>
      <c r="S199" s="99">
        <f>$S$127</f>
        <v>50</v>
      </c>
      <c r="T199" s="99">
        <f>$T$127</f>
        <v>22.0941</v>
      </c>
      <c r="U199" s="99">
        <f>$U$127</f>
        <v>0</v>
      </c>
      <c r="V199" s="37">
        <f>P199*E199</f>
        <v>1051.2761662</v>
      </c>
      <c r="W199" s="139"/>
      <c r="X199" s="139"/>
      <c r="Y199" s="139"/>
      <c r="Z199" s="139"/>
      <c r="AA199" s="139"/>
      <c r="AB199" s="139"/>
      <c r="AC199" s="140"/>
      <c r="AD199" s="140"/>
    </row>
    <row r="200" s="119" customFormat="1" ht="72" customHeight="1" outlineLevel="2" spans="1:30">
      <c r="A200" s="162">
        <f>1+N(A199)</f>
        <v>3</v>
      </c>
      <c r="B200" s="14" t="s">
        <v>106</v>
      </c>
      <c r="C200" s="15" t="s">
        <v>107</v>
      </c>
      <c r="D200" s="142" t="s">
        <v>70</v>
      </c>
      <c r="E200" s="143">
        <v>14.582</v>
      </c>
      <c r="F200" s="143">
        <f>$F$27</f>
        <v>18</v>
      </c>
      <c r="G200" s="143">
        <f>$G$27</f>
        <v>163.255</v>
      </c>
      <c r="H200" s="143">
        <f>$H$27</f>
        <v>3.8</v>
      </c>
      <c r="I200" s="17">
        <f>(F200+G200+H200)*$I$3</f>
        <v>18.5055</v>
      </c>
      <c r="J200" s="18">
        <f>ROUND(SUM(F200:I200),2)</f>
        <v>203.56</v>
      </c>
      <c r="K200" s="19">
        <f>ROUND(J200*E200,2)</f>
        <v>2968.31</v>
      </c>
      <c r="L200" s="135"/>
      <c r="M200" s="136"/>
      <c r="N200" s="136"/>
      <c r="O200" s="136"/>
      <c r="P200" s="37">
        <f>Q200+Q200*R200+S200+T200+U200</f>
        <v>185.055</v>
      </c>
      <c r="Q200" s="99">
        <f>$Q$27</f>
        <v>158.5</v>
      </c>
      <c r="R200" s="163">
        <f>$R$27</f>
        <v>0.03</v>
      </c>
      <c r="S200" s="99">
        <f>$S$27</f>
        <v>18</v>
      </c>
      <c r="T200" s="99">
        <f>$T$27</f>
        <v>3.5</v>
      </c>
      <c r="U200" s="99">
        <f>$U$27</f>
        <v>0.3</v>
      </c>
      <c r="V200" s="37">
        <f>P200*E200</f>
        <v>2698.47201</v>
      </c>
      <c r="W200" s="139"/>
      <c r="X200" s="139"/>
      <c r="Y200" s="139"/>
      <c r="Z200" s="139"/>
      <c r="AA200" s="139"/>
      <c r="AB200" s="139"/>
      <c r="AC200" s="140"/>
      <c r="AD200" s="140"/>
    </row>
    <row r="201" s="119" customFormat="1" ht="72" customHeight="1" outlineLevel="2" spans="1:30">
      <c r="A201" s="162">
        <f>1+N(A200)</f>
        <v>4</v>
      </c>
      <c r="B201" s="14" t="s">
        <v>108</v>
      </c>
      <c r="C201" s="15" t="s">
        <v>109</v>
      </c>
      <c r="D201" s="142" t="s">
        <v>70</v>
      </c>
      <c r="E201" s="143">
        <f>4.42*2</f>
        <v>8.84</v>
      </c>
      <c r="F201" s="143">
        <f>$F$28</f>
        <v>30</v>
      </c>
      <c r="G201" s="143">
        <f>$G$28</f>
        <v>65.6625</v>
      </c>
      <c r="H201" s="143">
        <f>$H$28</f>
        <v>2.7</v>
      </c>
      <c r="I201" s="17">
        <f>(F201+G201+H201)*$I$3</f>
        <v>9.83625</v>
      </c>
      <c r="J201" s="18">
        <f>ROUND(SUM(F201:I201),2)</f>
        <v>108.2</v>
      </c>
      <c r="K201" s="19">
        <f>ROUND(J201*E201,2)</f>
        <v>956.49</v>
      </c>
      <c r="L201" s="135"/>
      <c r="M201" s="136"/>
      <c r="N201" s="136"/>
      <c r="O201" s="136"/>
      <c r="P201" s="37">
        <f>Q201+Q201*R201+S201+T201+U201</f>
        <v>98.3625</v>
      </c>
      <c r="Q201" s="99">
        <f>$Q$28</f>
        <v>63.75</v>
      </c>
      <c r="R201" s="163">
        <f>$R$28</f>
        <v>0.03</v>
      </c>
      <c r="S201" s="99">
        <f>$S$28</f>
        <v>30</v>
      </c>
      <c r="T201" s="99">
        <f>$T$28</f>
        <v>2.5</v>
      </c>
      <c r="U201" s="99">
        <f>$U$28</f>
        <v>0.2</v>
      </c>
      <c r="V201" s="37">
        <f>P201*E201</f>
        <v>869.5245</v>
      </c>
      <c r="W201" s="139"/>
      <c r="X201" s="139"/>
      <c r="Y201" s="139"/>
      <c r="Z201" s="139"/>
      <c r="AA201" s="139"/>
      <c r="AB201" s="139"/>
      <c r="AC201" s="140"/>
      <c r="AD201" s="140"/>
    </row>
    <row r="202" s="119" customFormat="1" ht="72" customHeight="1" outlineLevel="2" spans="1:30">
      <c r="A202" s="162">
        <f>1+N(A201)</f>
        <v>5</v>
      </c>
      <c r="B202" s="14" t="s">
        <v>110</v>
      </c>
      <c r="C202" s="15" t="s">
        <v>111</v>
      </c>
      <c r="D202" s="142" t="s">
        <v>63</v>
      </c>
      <c r="E202" s="143">
        <v>22.836</v>
      </c>
      <c r="F202" s="143">
        <f>$F$29</f>
        <v>45</v>
      </c>
      <c r="G202" s="143">
        <f>$G$29</f>
        <v>85.5</v>
      </c>
      <c r="H202" s="143">
        <f>$H$29</f>
        <v>7.3</v>
      </c>
      <c r="I202" s="17">
        <f>(F202+G202+H202)*$I$3</f>
        <v>13.78</v>
      </c>
      <c r="J202" s="18">
        <f>ROUND(SUM(F202:I202),2)</f>
        <v>151.58</v>
      </c>
      <c r="K202" s="19">
        <f>ROUND(J202*E202,2)</f>
        <v>3461.48</v>
      </c>
      <c r="L202" s="135"/>
      <c r="M202" s="136"/>
      <c r="N202" s="136"/>
      <c r="O202" s="136"/>
      <c r="P202" s="37">
        <f>Q202+Q202*R202+S202+T202+U202</f>
        <v>137.8</v>
      </c>
      <c r="Q202" s="99">
        <f>$Q$29</f>
        <v>85.5</v>
      </c>
      <c r="R202" s="163">
        <f>$R$29</f>
        <v>0</v>
      </c>
      <c r="S202" s="99">
        <f>$S$29</f>
        <v>45</v>
      </c>
      <c r="T202" s="99">
        <f>$T$29</f>
        <v>6.5</v>
      </c>
      <c r="U202" s="99">
        <f>$U$29</f>
        <v>0.8</v>
      </c>
      <c r="V202" s="37">
        <f>P202*E202</f>
        <v>3146.8008</v>
      </c>
      <c r="W202" s="139"/>
      <c r="X202" s="139"/>
      <c r="Y202" s="139"/>
      <c r="Z202" s="139"/>
      <c r="AA202" s="139"/>
      <c r="AB202" s="139"/>
      <c r="AC202" s="140"/>
      <c r="AD202" s="140"/>
    </row>
    <row r="203" s="119" customFormat="1" ht="24" customHeight="1" outlineLevel="1" spans="1:30">
      <c r="A203" s="141"/>
      <c r="B203" s="14" t="s">
        <v>112</v>
      </c>
      <c r="C203" s="15"/>
      <c r="D203" s="142"/>
      <c r="E203" s="143"/>
      <c r="F203" s="143"/>
      <c r="G203" s="143"/>
      <c r="H203" s="143"/>
      <c r="I203" s="143"/>
      <c r="J203" s="143"/>
      <c r="K203" s="144"/>
      <c r="L203" s="135"/>
      <c r="M203" s="136"/>
      <c r="N203" s="136"/>
      <c r="O203" s="136"/>
      <c r="P203" s="137"/>
      <c r="Q203" s="137"/>
      <c r="R203" s="138"/>
      <c r="S203" s="137"/>
      <c r="T203" s="137"/>
      <c r="U203" s="137"/>
      <c r="V203" s="137"/>
      <c r="W203" s="139"/>
      <c r="X203" s="139"/>
      <c r="Y203" s="139"/>
      <c r="Z203" s="139"/>
      <c r="AA203" s="139"/>
      <c r="AB203" s="139"/>
      <c r="AC203" s="140"/>
      <c r="AD203" s="140"/>
    </row>
    <row r="204" s="119" customFormat="1" ht="24" customHeight="1" spans="1:30">
      <c r="A204" s="132" t="s">
        <v>217</v>
      </c>
      <c r="B204" s="8" t="s">
        <v>527</v>
      </c>
      <c r="C204" s="8"/>
      <c r="D204" s="133"/>
      <c r="E204" s="134"/>
      <c r="F204" s="134"/>
      <c r="G204" s="134"/>
      <c r="H204" s="134"/>
      <c r="I204" s="134"/>
      <c r="J204" s="134"/>
      <c r="K204" s="11">
        <f>SUM(K205:K301)</f>
        <v>307961.71</v>
      </c>
      <c r="L204" s="135"/>
      <c r="M204" s="136"/>
      <c r="N204" s="136"/>
      <c r="O204" s="136"/>
      <c r="P204" s="137"/>
      <c r="Q204" s="137"/>
      <c r="R204" s="138"/>
      <c r="S204" s="137"/>
      <c r="T204" s="137"/>
      <c r="U204" s="137"/>
      <c r="V204" s="137"/>
      <c r="W204" s="139"/>
      <c r="X204" s="139"/>
      <c r="Y204" s="139"/>
      <c r="Z204" s="139"/>
      <c r="AA204" s="139"/>
      <c r="AB204" s="139"/>
      <c r="AC204" s="140"/>
      <c r="AD204" s="140"/>
    </row>
    <row r="205" s="119" customFormat="1" ht="24" customHeight="1" outlineLevel="1" spans="1:30">
      <c r="A205" s="132" t="s">
        <v>58</v>
      </c>
      <c r="B205" s="8" t="s">
        <v>518</v>
      </c>
      <c r="C205" s="8"/>
      <c r="D205" s="133"/>
      <c r="E205" s="134"/>
      <c r="F205" s="134"/>
      <c r="G205" s="134"/>
      <c r="H205" s="134"/>
      <c r="I205" s="134"/>
      <c r="J205" s="134"/>
      <c r="K205" s="11"/>
      <c r="L205" s="135"/>
      <c r="M205" s="136"/>
      <c r="N205" s="136"/>
      <c r="O205" s="136"/>
      <c r="P205" s="137"/>
      <c r="Q205" s="137"/>
      <c r="R205" s="138"/>
      <c r="S205" s="137"/>
      <c r="T205" s="137"/>
      <c r="U205" s="137"/>
      <c r="V205" s="137"/>
      <c r="W205" s="139"/>
      <c r="X205" s="139"/>
      <c r="Y205" s="139"/>
      <c r="Z205" s="139"/>
      <c r="AA205" s="139"/>
      <c r="AB205" s="139"/>
      <c r="AC205" s="140"/>
      <c r="AD205" s="140"/>
    </row>
    <row r="206" s="119" customFormat="1" ht="24" customHeight="1" outlineLevel="1" spans="1:30">
      <c r="A206" s="141"/>
      <c r="B206" s="14" t="s">
        <v>60</v>
      </c>
      <c r="C206" s="15"/>
      <c r="D206" s="142"/>
      <c r="E206" s="143"/>
      <c r="F206" s="143"/>
      <c r="G206" s="143"/>
      <c r="H206" s="143"/>
      <c r="I206" s="143"/>
      <c r="J206" s="143"/>
      <c r="K206" s="144"/>
      <c r="L206" s="135"/>
      <c r="M206" s="136"/>
      <c r="N206" s="136"/>
      <c r="O206" s="136"/>
      <c r="P206" s="137"/>
      <c r="Q206" s="137"/>
      <c r="R206" s="138"/>
      <c r="S206" s="137"/>
      <c r="T206" s="137"/>
      <c r="U206" s="137"/>
      <c r="V206" s="137"/>
      <c r="W206" s="139"/>
      <c r="X206" s="139"/>
      <c r="Y206" s="139"/>
      <c r="Z206" s="139"/>
      <c r="AA206" s="139"/>
      <c r="AB206" s="139"/>
      <c r="AC206" s="140"/>
      <c r="AD206" s="140"/>
    </row>
    <row r="207" s="119" customFormat="1" ht="96" customHeight="1" outlineLevel="2" spans="1:30">
      <c r="A207" s="162">
        <f>1+N(A206)</f>
        <v>1</v>
      </c>
      <c r="B207" s="14" t="s">
        <v>61</v>
      </c>
      <c r="C207" s="15" t="s">
        <v>62</v>
      </c>
      <c r="D207" s="142" t="s">
        <v>63</v>
      </c>
      <c r="E207" s="143">
        <v>7.546</v>
      </c>
      <c r="F207" s="143">
        <f>$F$7</f>
        <v>130</v>
      </c>
      <c r="G207" s="143">
        <f>$G$7</f>
        <v>628.3</v>
      </c>
      <c r="H207" s="17">
        <f>$H$7</f>
        <v>47.7</v>
      </c>
      <c r="I207" s="17">
        <f>(F207+G207+H207)*$I$3</f>
        <v>80.6</v>
      </c>
      <c r="J207" s="18">
        <f>ROUND(SUM(F207:I207),2)</f>
        <v>886.6</v>
      </c>
      <c r="K207" s="19">
        <f>ROUND(J207*E207,2)</f>
        <v>6690.28</v>
      </c>
      <c r="L207" s="135"/>
      <c r="M207" s="136"/>
      <c r="N207" s="136"/>
      <c r="O207" s="136"/>
      <c r="P207" s="137">
        <f>Q207+Q207*R207+S207+T207+U207</f>
        <v>806</v>
      </c>
      <c r="Q207" s="99">
        <f>$Q$7</f>
        <v>610</v>
      </c>
      <c r="R207" s="163">
        <f>$R$7</f>
        <v>0.03</v>
      </c>
      <c r="S207" s="99">
        <f>$S$7</f>
        <v>130</v>
      </c>
      <c r="T207" s="99">
        <f>$T$7</f>
        <v>46.2</v>
      </c>
      <c r="U207" s="99">
        <f>$U$7</f>
        <v>1.5</v>
      </c>
      <c r="V207" s="37">
        <f>P207*E207</f>
        <v>6082.076</v>
      </c>
      <c r="W207" s="139"/>
      <c r="X207" s="139"/>
      <c r="Y207" s="139"/>
      <c r="Z207" s="139"/>
      <c r="AA207" s="139"/>
      <c r="AB207" s="139"/>
      <c r="AC207" s="140"/>
      <c r="AD207" s="140"/>
    </row>
    <row r="208" s="119" customFormat="1" ht="108" customHeight="1" outlineLevel="2" spans="1:30">
      <c r="A208" s="162">
        <f>1+N(A207)</f>
        <v>2</v>
      </c>
      <c r="B208" s="14" t="s">
        <v>64</v>
      </c>
      <c r="C208" s="15" t="s">
        <v>65</v>
      </c>
      <c r="D208" s="142" t="s">
        <v>63</v>
      </c>
      <c r="E208" s="143">
        <v>16.519</v>
      </c>
      <c r="F208" s="143">
        <f>$F$8</f>
        <v>130</v>
      </c>
      <c r="G208" s="143">
        <f>$G$8</f>
        <v>854.9</v>
      </c>
      <c r="H208" s="143">
        <f>$H$8</f>
        <v>47.7</v>
      </c>
      <c r="I208" s="17">
        <f>(F208+G208+H208)*$I$3</f>
        <v>103.26</v>
      </c>
      <c r="J208" s="18">
        <f>ROUND(SUM(F208:I208),2)</f>
        <v>1135.86</v>
      </c>
      <c r="K208" s="19">
        <f>ROUND(J208*E208,2)</f>
        <v>18763.27</v>
      </c>
      <c r="L208" s="135"/>
      <c r="M208" s="136"/>
      <c r="N208" s="136"/>
      <c r="O208" s="136"/>
      <c r="P208" s="137">
        <f>Q208+Q208*R208+S208+T208+U208</f>
        <v>1032.6</v>
      </c>
      <c r="Q208" s="99">
        <f>$Q$8</f>
        <v>830</v>
      </c>
      <c r="R208" s="163">
        <f>$R$8</f>
        <v>0.03</v>
      </c>
      <c r="S208" s="99">
        <f>$S$8</f>
        <v>130</v>
      </c>
      <c r="T208" s="99">
        <f>$T$8</f>
        <v>46.2</v>
      </c>
      <c r="U208" s="99">
        <f>$U$8</f>
        <v>1.5</v>
      </c>
      <c r="V208" s="37">
        <f>P208*E208</f>
        <v>17057.5194</v>
      </c>
      <c r="W208" s="139"/>
      <c r="X208" s="139"/>
      <c r="Y208" s="139"/>
      <c r="Z208" s="139"/>
      <c r="AA208" s="139"/>
      <c r="AB208" s="139"/>
      <c r="AC208" s="140"/>
      <c r="AD208" s="140"/>
    </row>
    <row r="209" s="119" customFormat="1" ht="36" customHeight="1" outlineLevel="2" spans="1:30">
      <c r="A209" s="162">
        <f>1+N(A208)</f>
        <v>3</v>
      </c>
      <c r="B209" s="14" t="s">
        <v>68</v>
      </c>
      <c r="C209" s="15" t="s">
        <v>69</v>
      </c>
      <c r="D209" s="142" t="s">
        <v>70</v>
      </c>
      <c r="E209" s="143">
        <v>17.264</v>
      </c>
      <c r="F209" s="143">
        <f>$F$9</f>
        <v>12</v>
      </c>
      <c r="G209" s="143">
        <f>$G$9</f>
        <v>19.57</v>
      </c>
      <c r="H209" s="143">
        <f>$H$9</f>
        <v>0.5</v>
      </c>
      <c r="I209" s="17">
        <f>(F209+G209+H209)*$I$3</f>
        <v>3.207</v>
      </c>
      <c r="J209" s="18">
        <f>ROUND(SUM(F209:I209),2)</f>
        <v>35.28</v>
      </c>
      <c r="K209" s="19">
        <f>ROUND(J209*E209,2)</f>
        <v>609.07</v>
      </c>
      <c r="L209" s="135"/>
      <c r="M209" s="136"/>
      <c r="N209" s="136"/>
      <c r="O209" s="136"/>
      <c r="P209" s="37">
        <f>Q209+Q209*R209+S209+T209+U209</f>
        <v>32.07</v>
      </c>
      <c r="Q209" s="99">
        <f>$Q$9</f>
        <v>19</v>
      </c>
      <c r="R209" s="163">
        <f>$R$9</f>
        <v>0.03</v>
      </c>
      <c r="S209" s="99">
        <f>$S$9</f>
        <v>12</v>
      </c>
      <c r="T209" s="99">
        <f>$T$9</f>
        <v>0.3</v>
      </c>
      <c r="U209" s="99">
        <f>$U$9</f>
        <v>0.2</v>
      </c>
      <c r="V209" s="37">
        <f>P209*E209</f>
        <v>553.65648</v>
      </c>
      <c r="W209" s="139"/>
      <c r="X209" s="139"/>
      <c r="Y209" s="139"/>
      <c r="Z209" s="139"/>
      <c r="AA209" s="139"/>
      <c r="AB209" s="139"/>
      <c r="AC209" s="140"/>
      <c r="AD209" s="140"/>
    </row>
    <row r="210" s="119" customFormat="1" ht="48" customHeight="1" outlineLevel="2" spans="1:30">
      <c r="A210" s="162">
        <f>1+N(A209)</f>
        <v>4</v>
      </c>
      <c r="B210" s="14" t="s">
        <v>71</v>
      </c>
      <c r="C210" s="15" t="s">
        <v>72</v>
      </c>
      <c r="D210" s="142" t="s">
        <v>63</v>
      </c>
      <c r="E210" s="143">
        <f>+E207+E208</f>
        <v>24.065</v>
      </c>
      <c r="F210" s="143">
        <f>$F$10</f>
        <v>40</v>
      </c>
      <c r="G210" s="143">
        <f>$G$10</f>
        <v>15</v>
      </c>
      <c r="H210" s="143">
        <f>$H$10</f>
        <v>0.8</v>
      </c>
      <c r="I210" s="17">
        <f>(F210+G210+H210)*$I$3</f>
        <v>5.58</v>
      </c>
      <c r="J210" s="18">
        <f>ROUND(SUM(F210:I210),2)</f>
        <v>61.38</v>
      </c>
      <c r="K210" s="19">
        <f>ROUND(J210*E210,2)</f>
        <v>1477.11</v>
      </c>
      <c r="L210" s="135"/>
      <c r="M210" s="136"/>
      <c r="N210" s="136"/>
      <c r="O210" s="136"/>
      <c r="P210" s="37">
        <f>Q210+Q210*R210+S210+T210+U210</f>
        <v>55.8</v>
      </c>
      <c r="Q210" s="99">
        <f>$Q$10</f>
        <v>15</v>
      </c>
      <c r="R210" s="163">
        <f>$R$10</f>
        <v>0</v>
      </c>
      <c r="S210" s="99">
        <f>$S$10</f>
        <v>40</v>
      </c>
      <c r="T210" s="99">
        <f>$T$10</f>
        <v>0.5</v>
      </c>
      <c r="U210" s="99">
        <f>$U$10</f>
        <v>0.3</v>
      </c>
      <c r="V210" s="37">
        <f>P210*E210</f>
        <v>1342.827</v>
      </c>
      <c r="W210" s="139"/>
      <c r="X210" s="139"/>
      <c r="Y210" s="139"/>
      <c r="Z210" s="139"/>
      <c r="AA210" s="139"/>
      <c r="AB210" s="139"/>
      <c r="AC210" s="140"/>
      <c r="AD210" s="140"/>
    </row>
    <row r="211" s="119" customFormat="1" ht="24" customHeight="1" outlineLevel="1" spans="1:30">
      <c r="A211" s="141"/>
      <c r="B211" s="14" t="s">
        <v>494</v>
      </c>
      <c r="C211" s="15"/>
      <c r="D211" s="142"/>
      <c r="E211" s="143"/>
      <c r="F211" s="143"/>
      <c r="G211" s="143"/>
      <c r="H211" s="143"/>
      <c r="I211" s="143"/>
      <c r="J211" s="143"/>
      <c r="K211" s="144"/>
      <c r="L211" s="135"/>
      <c r="M211" s="136"/>
      <c r="N211" s="136"/>
      <c r="O211" s="136"/>
      <c r="P211" s="137"/>
      <c r="Q211" s="137"/>
      <c r="R211" s="138"/>
      <c r="S211" s="137"/>
      <c r="T211" s="137"/>
      <c r="U211" s="137"/>
      <c r="V211" s="137"/>
      <c r="W211" s="139"/>
      <c r="X211" s="139"/>
      <c r="Y211" s="139"/>
      <c r="Z211" s="139"/>
      <c r="AA211" s="139"/>
      <c r="AB211" s="139"/>
      <c r="AC211" s="140"/>
      <c r="AD211" s="140"/>
    </row>
    <row r="212" s="119" customFormat="1" ht="72" customHeight="1" outlineLevel="2" spans="1:30">
      <c r="A212" s="162">
        <f t="shared" ref="A212:A223" si="51">1+N(A211)</f>
        <v>1</v>
      </c>
      <c r="B212" s="164" t="s">
        <v>74</v>
      </c>
      <c r="C212" s="15" t="s">
        <v>75</v>
      </c>
      <c r="D212" s="142" t="s">
        <v>63</v>
      </c>
      <c r="E212" s="143">
        <v>6.099</v>
      </c>
      <c r="F212" s="143">
        <f>$F$12</f>
        <v>95</v>
      </c>
      <c r="G212" s="143">
        <f>$G$12</f>
        <v>813.75</v>
      </c>
      <c r="H212" s="143">
        <f>$H$12</f>
        <v>18.3</v>
      </c>
      <c r="I212" s="17">
        <f t="shared" ref="I212:I223" si="52">(F212+G212+H212)*$I$3</f>
        <v>92.705</v>
      </c>
      <c r="J212" s="18">
        <f t="shared" ref="J212:J223" si="53">ROUND(SUM(F212:I212),2)</f>
        <v>1019.76</v>
      </c>
      <c r="K212" s="19">
        <f t="shared" ref="K212:K223" si="54">ROUND(J212*E212,2)</f>
        <v>6219.52</v>
      </c>
      <c r="L212" s="135"/>
      <c r="M212" s="136"/>
      <c r="N212" s="136"/>
      <c r="O212" s="136"/>
      <c r="P212" s="37">
        <f t="shared" ref="P212:P223" si="55">Q212+Q212*R212+S212+T212+U212</f>
        <v>927.05</v>
      </c>
      <c r="Q212" s="99">
        <f>$Q$12</f>
        <v>775</v>
      </c>
      <c r="R212" s="163">
        <f>$R$12</f>
        <v>0.05</v>
      </c>
      <c r="S212" s="99">
        <f>$S$12</f>
        <v>95</v>
      </c>
      <c r="T212" s="99">
        <f>$T$12</f>
        <v>16.8</v>
      </c>
      <c r="U212" s="99">
        <f>$U$12</f>
        <v>1.5</v>
      </c>
      <c r="V212" s="37">
        <f t="shared" ref="V212:V223" si="56">P212*E212</f>
        <v>5654.07795</v>
      </c>
      <c r="W212" s="139"/>
      <c r="X212" s="139"/>
      <c r="Y212" s="139"/>
      <c r="Z212" s="139"/>
      <c r="AA212" s="139"/>
      <c r="AB212" s="139"/>
      <c r="AC212" s="140"/>
      <c r="AD212" s="140"/>
    </row>
    <row r="213" s="119" customFormat="1" ht="96" customHeight="1" outlineLevel="2" spans="1:30">
      <c r="A213" s="162">
        <f t="shared" si="51"/>
        <v>2</v>
      </c>
      <c r="B213" s="165" t="s">
        <v>76</v>
      </c>
      <c r="C213" s="166" t="s">
        <v>77</v>
      </c>
      <c r="D213" s="142" t="s">
        <v>63</v>
      </c>
      <c r="E213" s="143">
        <v>24.873</v>
      </c>
      <c r="F213" s="143">
        <f>$F$13</f>
        <v>145</v>
      </c>
      <c r="G213" s="143">
        <f>$G$13</f>
        <v>651</v>
      </c>
      <c r="H213" s="143">
        <f>$H$13</f>
        <v>113.55</v>
      </c>
      <c r="I213" s="17">
        <f t="shared" si="52"/>
        <v>90.955</v>
      </c>
      <c r="J213" s="18">
        <f t="shared" si="53"/>
        <v>1000.51</v>
      </c>
      <c r="K213" s="19">
        <f t="shared" si="54"/>
        <v>24885.69</v>
      </c>
      <c r="L213" s="135"/>
      <c r="M213" s="136"/>
      <c r="N213" s="136"/>
      <c r="O213" s="136"/>
      <c r="P213" s="37">
        <f t="shared" si="55"/>
        <v>909.55</v>
      </c>
      <c r="Q213" s="99">
        <f>$Q$13</f>
        <v>620</v>
      </c>
      <c r="R213" s="163">
        <f>$R$13</f>
        <v>0.05</v>
      </c>
      <c r="S213" s="99">
        <f>$S$13</f>
        <v>145</v>
      </c>
      <c r="T213" s="99">
        <f>$T$13</f>
        <v>111.75</v>
      </c>
      <c r="U213" s="99">
        <f>$U$13</f>
        <v>1.8</v>
      </c>
      <c r="V213" s="37">
        <f t="shared" si="56"/>
        <v>22623.23715</v>
      </c>
      <c r="W213" s="139"/>
      <c r="X213" s="139"/>
      <c r="Y213" s="139"/>
      <c r="Z213" s="139"/>
      <c r="AA213" s="139"/>
      <c r="AB213" s="139"/>
      <c r="AC213" s="140"/>
      <c r="AD213" s="140"/>
    </row>
    <row r="214" s="119" customFormat="1" ht="60" customHeight="1" outlineLevel="2" spans="1:30">
      <c r="A214" s="162">
        <f t="shared" si="51"/>
        <v>3</v>
      </c>
      <c r="B214" s="14" t="s">
        <v>226</v>
      </c>
      <c r="C214" s="15" t="s">
        <v>225</v>
      </c>
      <c r="D214" s="142" t="s">
        <v>63</v>
      </c>
      <c r="E214" s="143">
        <v>4.93</v>
      </c>
      <c r="F214" s="143">
        <f>$F$14</f>
        <v>35</v>
      </c>
      <c r="G214" s="143">
        <f>$G$14</f>
        <v>346.08</v>
      </c>
      <c r="H214" s="143">
        <f>$H$14</f>
        <v>54.7</v>
      </c>
      <c r="I214" s="17">
        <f t="shared" si="52"/>
        <v>43.578</v>
      </c>
      <c r="J214" s="18">
        <f t="shared" si="53"/>
        <v>479.36</v>
      </c>
      <c r="K214" s="19">
        <f t="shared" si="54"/>
        <v>2363.24</v>
      </c>
      <c r="L214" s="135"/>
      <c r="M214" s="136"/>
      <c r="N214" s="136"/>
      <c r="O214" s="136"/>
      <c r="P214" s="37">
        <f t="shared" si="55"/>
        <v>435.78</v>
      </c>
      <c r="Q214" s="99">
        <f>$Q$14</f>
        <v>336</v>
      </c>
      <c r="R214" s="163">
        <f>$R$14</f>
        <v>0.03</v>
      </c>
      <c r="S214" s="99">
        <f>$S$14</f>
        <v>35</v>
      </c>
      <c r="T214" s="99">
        <f>$T$14</f>
        <v>53.5</v>
      </c>
      <c r="U214" s="99">
        <f>$U$14</f>
        <v>1.2</v>
      </c>
      <c r="V214" s="37">
        <f t="shared" si="56"/>
        <v>2148.3954</v>
      </c>
      <c r="W214" s="139"/>
      <c r="X214" s="139"/>
      <c r="Y214" s="139"/>
      <c r="Z214" s="139"/>
      <c r="AA214" s="139"/>
      <c r="AB214" s="139"/>
      <c r="AC214" s="140"/>
      <c r="AD214" s="140"/>
    </row>
    <row r="215" s="119" customFormat="1" ht="72" customHeight="1" outlineLevel="2" spans="1:30">
      <c r="A215" s="162">
        <f t="shared" si="51"/>
        <v>4</v>
      </c>
      <c r="B215" s="165" t="s">
        <v>228</v>
      </c>
      <c r="C215" s="15" t="s">
        <v>229</v>
      </c>
      <c r="D215" s="142" t="s">
        <v>63</v>
      </c>
      <c r="E215" s="143">
        <v>13.784</v>
      </c>
      <c r="F215" s="143">
        <f>$F$15</f>
        <v>110</v>
      </c>
      <c r="G215" s="143">
        <f>$G$15</f>
        <v>86.355</v>
      </c>
      <c r="H215" s="143">
        <f>$H$15</f>
        <v>56.797</v>
      </c>
      <c r="I215" s="17">
        <f t="shared" si="52"/>
        <v>25.3152</v>
      </c>
      <c r="J215" s="18">
        <f t="shared" si="53"/>
        <v>278.47</v>
      </c>
      <c r="K215" s="19">
        <f t="shared" si="54"/>
        <v>3838.43</v>
      </c>
      <c r="L215" s="135"/>
      <c r="M215" s="136"/>
      <c r="N215" s="136"/>
      <c r="O215" s="136"/>
      <c r="P215" s="37">
        <f t="shared" si="55"/>
        <v>253.152</v>
      </c>
      <c r="Q215" s="99">
        <f>$Q$15</f>
        <v>85.5</v>
      </c>
      <c r="R215" s="163">
        <f>$R$15</f>
        <v>0.01</v>
      </c>
      <c r="S215" s="99">
        <f>$S$15</f>
        <v>110</v>
      </c>
      <c r="T215" s="99">
        <f>$T$15</f>
        <v>55.997</v>
      </c>
      <c r="U215" s="99">
        <f>$U$15</f>
        <v>0.8</v>
      </c>
      <c r="V215" s="37">
        <f t="shared" si="56"/>
        <v>3489.447168</v>
      </c>
      <c r="W215" s="139"/>
      <c r="X215" s="139"/>
      <c r="Y215" s="139"/>
      <c r="Z215" s="139"/>
      <c r="AA215" s="139"/>
      <c r="AB215" s="139"/>
      <c r="AC215" s="140"/>
      <c r="AD215" s="140"/>
    </row>
    <row r="216" s="119" customFormat="1" ht="48" customHeight="1" outlineLevel="2" spans="1:30">
      <c r="A216" s="162">
        <f t="shared" si="51"/>
        <v>5</v>
      </c>
      <c r="B216" s="165" t="s">
        <v>82</v>
      </c>
      <c r="C216" s="166" t="s">
        <v>83</v>
      </c>
      <c r="D216" s="165" t="s">
        <v>63</v>
      </c>
      <c r="E216" s="143">
        <f>0.21*2.2*2+0.15*1.11</f>
        <v>1.0905</v>
      </c>
      <c r="F216" s="143">
        <f>$F$16</f>
        <v>110</v>
      </c>
      <c r="G216" s="143">
        <f>$G$16</f>
        <v>454.5</v>
      </c>
      <c r="H216" s="143">
        <f>$H$16</f>
        <v>55.2</v>
      </c>
      <c r="I216" s="17">
        <f t="shared" si="52"/>
        <v>61.97</v>
      </c>
      <c r="J216" s="18">
        <f t="shared" si="53"/>
        <v>681.67</v>
      </c>
      <c r="K216" s="19">
        <f t="shared" si="54"/>
        <v>743.36</v>
      </c>
      <c r="L216" s="135"/>
      <c r="M216" s="136"/>
      <c r="N216" s="136"/>
      <c r="O216" s="136"/>
      <c r="P216" s="37">
        <f t="shared" si="55"/>
        <v>619.7</v>
      </c>
      <c r="Q216" s="99">
        <f>$Q$16</f>
        <v>450</v>
      </c>
      <c r="R216" s="163">
        <f>$R$16</f>
        <v>0.01</v>
      </c>
      <c r="S216" s="99">
        <f>$S$16</f>
        <v>110</v>
      </c>
      <c r="T216" s="99">
        <f>$T$16</f>
        <v>54</v>
      </c>
      <c r="U216" s="99">
        <f>$U$16</f>
        <v>1.2</v>
      </c>
      <c r="V216" s="37">
        <f t="shared" si="56"/>
        <v>675.78285</v>
      </c>
      <c r="W216" s="139"/>
      <c r="X216" s="139"/>
      <c r="Y216" s="139"/>
      <c r="Z216" s="139"/>
      <c r="AA216" s="139"/>
      <c r="AB216" s="139"/>
      <c r="AC216" s="140"/>
      <c r="AD216" s="140"/>
    </row>
    <row r="217" s="119" customFormat="1" ht="48" customHeight="1" outlineLevel="2" spans="1:30">
      <c r="A217" s="162">
        <f t="shared" si="51"/>
        <v>6</v>
      </c>
      <c r="B217" s="165" t="s">
        <v>84</v>
      </c>
      <c r="C217" s="166" t="s">
        <v>83</v>
      </c>
      <c r="D217" s="165" t="s">
        <v>63</v>
      </c>
      <c r="E217" s="143">
        <f>0.34*2.5*2*2</f>
        <v>3.4</v>
      </c>
      <c r="F217" s="143">
        <f>$F$17</f>
        <v>110</v>
      </c>
      <c r="G217" s="143">
        <f>$G$17</f>
        <v>454.5</v>
      </c>
      <c r="H217" s="143">
        <f>$H$17</f>
        <v>55.2</v>
      </c>
      <c r="I217" s="17">
        <f t="shared" si="52"/>
        <v>61.97</v>
      </c>
      <c r="J217" s="18">
        <f t="shared" si="53"/>
        <v>681.67</v>
      </c>
      <c r="K217" s="19">
        <f t="shared" si="54"/>
        <v>2317.68</v>
      </c>
      <c r="L217" s="135"/>
      <c r="M217" s="136"/>
      <c r="N217" s="136"/>
      <c r="O217" s="136"/>
      <c r="P217" s="37">
        <f t="shared" si="55"/>
        <v>619.7</v>
      </c>
      <c r="Q217" s="99">
        <f>$Q$17</f>
        <v>450</v>
      </c>
      <c r="R217" s="163">
        <f>$R$17</f>
        <v>0.01</v>
      </c>
      <c r="S217" s="99">
        <f>$S$17</f>
        <v>110</v>
      </c>
      <c r="T217" s="99">
        <f>$T$17</f>
        <v>54</v>
      </c>
      <c r="U217" s="99">
        <f>$U$17</f>
        <v>1.2</v>
      </c>
      <c r="V217" s="37">
        <f t="shared" si="56"/>
        <v>2106.98</v>
      </c>
      <c r="W217" s="139"/>
      <c r="X217" s="139"/>
      <c r="Y217" s="139"/>
      <c r="Z217" s="139"/>
      <c r="AA217" s="139"/>
      <c r="AB217" s="139"/>
      <c r="AC217" s="140"/>
      <c r="AD217" s="140"/>
    </row>
    <row r="218" s="119" customFormat="1" ht="60" customHeight="1" outlineLevel="2" spans="1:30">
      <c r="A218" s="162">
        <f t="shared" si="51"/>
        <v>7</v>
      </c>
      <c r="B218" s="165" t="s">
        <v>85</v>
      </c>
      <c r="C218" s="166" t="s">
        <v>86</v>
      </c>
      <c r="D218" s="165" t="s">
        <v>63</v>
      </c>
      <c r="E218" s="143">
        <f>+(0.061+0.22+0.114+0.074)*0.95*2</f>
        <v>0.8911</v>
      </c>
      <c r="F218" s="143">
        <f>$F$18</f>
        <v>110</v>
      </c>
      <c r="G218" s="143">
        <f>$G$18</f>
        <v>454.5</v>
      </c>
      <c r="H218" s="143">
        <f>$H$18</f>
        <v>55.2</v>
      </c>
      <c r="I218" s="17">
        <f t="shared" si="52"/>
        <v>61.97</v>
      </c>
      <c r="J218" s="18">
        <f t="shared" si="53"/>
        <v>681.67</v>
      </c>
      <c r="K218" s="19">
        <f t="shared" si="54"/>
        <v>607.44</v>
      </c>
      <c r="L218" s="135"/>
      <c r="M218" s="136"/>
      <c r="N218" s="136"/>
      <c r="O218" s="136"/>
      <c r="P218" s="37">
        <f t="shared" si="55"/>
        <v>619.7</v>
      </c>
      <c r="Q218" s="99">
        <f>$Q$18</f>
        <v>450</v>
      </c>
      <c r="R218" s="163">
        <f>$R$18</f>
        <v>0.01</v>
      </c>
      <c r="S218" s="99">
        <f>$S$18</f>
        <v>110</v>
      </c>
      <c r="T218" s="99">
        <f>$T$18</f>
        <v>54</v>
      </c>
      <c r="U218" s="99">
        <f>$U$18</f>
        <v>1.2</v>
      </c>
      <c r="V218" s="37">
        <f t="shared" si="56"/>
        <v>552.21467</v>
      </c>
      <c r="W218" s="139"/>
      <c r="X218" s="139"/>
      <c r="Y218" s="139"/>
      <c r="Z218" s="139"/>
      <c r="AA218" s="139"/>
      <c r="AB218" s="139"/>
      <c r="AC218" s="140"/>
      <c r="AD218" s="140"/>
    </row>
    <row r="219" s="119" customFormat="1" ht="48" customHeight="1" outlineLevel="2" spans="1:30">
      <c r="A219" s="162">
        <f t="shared" si="51"/>
        <v>8</v>
      </c>
      <c r="B219" s="165" t="s">
        <v>87</v>
      </c>
      <c r="C219" s="166" t="s">
        <v>88</v>
      </c>
      <c r="D219" s="165" t="s">
        <v>63</v>
      </c>
      <c r="E219" s="143">
        <v>0.253</v>
      </c>
      <c r="F219" s="143">
        <f>$F$19</f>
        <v>110</v>
      </c>
      <c r="G219" s="143">
        <f>$G$19</f>
        <v>454.5</v>
      </c>
      <c r="H219" s="143">
        <f>$H$19</f>
        <v>55.2</v>
      </c>
      <c r="I219" s="17">
        <f t="shared" si="52"/>
        <v>61.97</v>
      </c>
      <c r="J219" s="18">
        <f t="shared" si="53"/>
        <v>681.67</v>
      </c>
      <c r="K219" s="19">
        <f t="shared" si="54"/>
        <v>172.46</v>
      </c>
      <c r="L219" s="135"/>
      <c r="M219" s="136"/>
      <c r="N219" s="136"/>
      <c r="O219" s="136"/>
      <c r="P219" s="37">
        <f t="shared" si="55"/>
        <v>619.7</v>
      </c>
      <c r="Q219" s="99">
        <f>$Q$19</f>
        <v>450</v>
      </c>
      <c r="R219" s="163">
        <f>$R$19</f>
        <v>0.01</v>
      </c>
      <c r="S219" s="99">
        <f>$S$19</f>
        <v>110</v>
      </c>
      <c r="T219" s="99">
        <f>$T$19</f>
        <v>54</v>
      </c>
      <c r="U219" s="99">
        <f>$U$19</f>
        <v>1.2</v>
      </c>
      <c r="V219" s="37">
        <f t="shared" si="56"/>
        <v>156.7841</v>
      </c>
      <c r="W219" s="139"/>
      <c r="X219" s="139"/>
      <c r="Y219" s="139"/>
      <c r="Z219" s="139"/>
      <c r="AA219" s="139"/>
      <c r="AB219" s="139"/>
      <c r="AC219" s="140"/>
      <c r="AD219" s="140"/>
    </row>
    <row r="220" s="119" customFormat="1" ht="48" customHeight="1" outlineLevel="2" spans="1:30">
      <c r="A220" s="162">
        <f t="shared" si="51"/>
        <v>9</v>
      </c>
      <c r="B220" s="165" t="s">
        <v>91</v>
      </c>
      <c r="C220" s="166" t="s">
        <v>92</v>
      </c>
      <c r="D220" s="165" t="s">
        <v>70</v>
      </c>
      <c r="E220" s="143">
        <v>19.611</v>
      </c>
      <c r="F220" s="143">
        <f>$F$20</f>
        <v>12</v>
      </c>
      <c r="G220" s="143">
        <f>$G$20</f>
        <v>25.75</v>
      </c>
      <c r="H220" s="143">
        <f>$H$20</f>
        <v>3.8</v>
      </c>
      <c r="I220" s="17">
        <f t="shared" si="52"/>
        <v>4.155</v>
      </c>
      <c r="J220" s="18">
        <f t="shared" si="53"/>
        <v>45.71</v>
      </c>
      <c r="K220" s="19">
        <f t="shared" si="54"/>
        <v>896.42</v>
      </c>
      <c r="L220" s="135"/>
      <c r="M220" s="136"/>
      <c r="N220" s="136"/>
      <c r="O220" s="136"/>
      <c r="P220" s="37">
        <f t="shared" si="55"/>
        <v>41.55</v>
      </c>
      <c r="Q220" s="99">
        <f>$Q$20</f>
        <v>25</v>
      </c>
      <c r="R220" s="163">
        <f>$R$20</f>
        <v>0.03</v>
      </c>
      <c r="S220" s="99">
        <f>$S$20</f>
        <v>12</v>
      </c>
      <c r="T220" s="99">
        <f>$T$20</f>
        <v>3.5</v>
      </c>
      <c r="U220" s="99">
        <f>$U$20</f>
        <v>0.3</v>
      </c>
      <c r="V220" s="37">
        <f t="shared" si="56"/>
        <v>814.83705</v>
      </c>
      <c r="W220" s="139"/>
      <c r="X220" s="139"/>
      <c r="Y220" s="139"/>
      <c r="Z220" s="139"/>
      <c r="AA220" s="139"/>
      <c r="AB220" s="139"/>
      <c r="AC220" s="140"/>
      <c r="AD220" s="140"/>
    </row>
    <row r="221" s="119" customFormat="1" ht="36" customHeight="1" outlineLevel="2" spans="1:30">
      <c r="A221" s="162">
        <f t="shared" si="51"/>
        <v>10</v>
      </c>
      <c r="B221" s="165" t="s">
        <v>519</v>
      </c>
      <c r="C221" s="166" t="s">
        <v>520</v>
      </c>
      <c r="D221" s="165" t="s">
        <v>70</v>
      </c>
      <c r="E221" s="143">
        <v>5.065</v>
      </c>
      <c r="F221" s="143">
        <f>$F$21</f>
        <v>12</v>
      </c>
      <c r="G221" s="143">
        <f>$G$21</f>
        <v>30.385</v>
      </c>
      <c r="H221" s="143">
        <f>$H$21</f>
        <v>3.8</v>
      </c>
      <c r="I221" s="17">
        <f t="shared" si="52"/>
        <v>4.6185</v>
      </c>
      <c r="J221" s="18">
        <f t="shared" si="53"/>
        <v>50.8</v>
      </c>
      <c r="K221" s="19">
        <f t="shared" si="54"/>
        <v>257.3</v>
      </c>
      <c r="L221" s="135"/>
      <c r="M221" s="136"/>
      <c r="N221" s="136"/>
      <c r="O221" s="136"/>
      <c r="P221" s="37">
        <f t="shared" si="55"/>
        <v>46.185</v>
      </c>
      <c r="Q221" s="99">
        <f>$Q$21</f>
        <v>29.5</v>
      </c>
      <c r="R221" s="163">
        <f>$R$21</f>
        <v>0.03</v>
      </c>
      <c r="S221" s="99">
        <f>$S$21</f>
        <v>12</v>
      </c>
      <c r="T221" s="99">
        <f>$T$21</f>
        <v>3.5</v>
      </c>
      <c r="U221" s="99">
        <f>$U$21</f>
        <v>0.3</v>
      </c>
      <c r="V221" s="37">
        <f t="shared" si="56"/>
        <v>233.927025</v>
      </c>
      <c r="W221" s="139"/>
      <c r="X221" s="139"/>
      <c r="Y221" s="139"/>
      <c r="Z221" s="139"/>
      <c r="AA221" s="139"/>
      <c r="AB221" s="139"/>
      <c r="AC221" s="140"/>
      <c r="AD221" s="140"/>
    </row>
    <row r="222" s="119" customFormat="1" ht="48" customHeight="1" outlineLevel="2" spans="1:30">
      <c r="A222" s="162">
        <f t="shared" si="51"/>
        <v>11</v>
      </c>
      <c r="B222" s="165" t="s">
        <v>97</v>
      </c>
      <c r="C222" s="166" t="s">
        <v>98</v>
      </c>
      <c r="D222" s="165" t="s">
        <v>70</v>
      </c>
      <c r="E222" s="143">
        <v>10.795</v>
      </c>
      <c r="F222" s="143">
        <f>$F$22</f>
        <v>22</v>
      </c>
      <c r="G222" s="143">
        <f>$G$22</f>
        <v>58.195</v>
      </c>
      <c r="H222" s="143">
        <f>$H$22</f>
        <v>6.3</v>
      </c>
      <c r="I222" s="17">
        <f t="shared" si="52"/>
        <v>8.6495</v>
      </c>
      <c r="J222" s="18">
        <f t="shared" si="53"/>
        <v>95.14</v>
      </c>
      <c r="K222" s="19">
        <f t="shared" si="54"/>
        <v>1027.04</v>
      </c>
      <c r="L222" s="135"/>
      <c r="M222" s="136"/>
      <c r="N222" s="136"/>
      <c r="O222" s="136"/>
      <c r="P222" s="37">
        <f t="shared" si="55"/>
        <v>86.495</v>
      </c>
      <c r="Q222" s="99">
        <f>$Q$22</f>
        <v>56.5</v>
      </c>
      <c r="R222" s="163">
        <f>$R$22</f>
        <v>0.03</v>
      </c>
      <c r="S222" s="99">
        <f>$S$22</f>
        <v>22</v>
      </c>
      <c r="T222" s="99">
        <f>$T$22</f>
        <v>6</v>
      </c>
      <c r="U222" s="99">
        <f>$U$22</f>
        <v>0.3</v>
      </c>
      <c r="V222" s="37">
        <f t="shared" si="56"/>
        <v>933.713525</v>
      </c>
      <c r="W222" s="139"/>
      <c r="X222" s="139"/>
      <c r="Y222" s="139"/>
      <c r="Z222" s="139"/>
      <c r="AA222" s="139"/>
      <c r="AB222" s="139"/>
      <c r="AC222" s="140"/>
      <c r="AD222" s="140"/>
    </row>
    <row r="223" s="119" customFormat="1" ht="48" customHeight="1" outlineLevel="2" spans="1:30">
      <c r="A223" s="162">
        <f t="shared" si="51"/>
        <v>12</v>
      </c>
      <c r="B223" s="165" t="s">
        <v>99</v>
      </c>
      <c r="C223" s="166" t="s">
        <v>100</v>
      </c>
      <c r="D223" s="165" t="s">
        <v>70</v>
      </c>
      <c r="E223" s="143">
        <v>22.751</v>
      </c>
      <c r="F223" s="143">
        <f>$F$23</f>
        <v>12</v>
      </c>
      <c r="G223" s="143">
        <f>$G$23</f>
        <v>23.4325</v>
      </c>
      <c r="H223" s="143">
        <f>$H$23</f>
        <v>3.8</v>
      </c>
      <c r="I223" s="17">
        <f t="shared" si="52"/>
        <v>3.92325</v>
      </c>
      <c r="J223" s="18">
        <f t="shared" si="53"/>
        <v>43.16</v>
      </c>
      <c r="K223" s="19">
        <f t="shared" si="54"/>
        <v>981.93</v>
      </c>
      <c r="L223" s="135"/>
      <c r="M223" s="136"/>
      <c r="N223" s="136"/>
      <c r="O223" s="136"/>
      <c r="P223" s="37">
        <f t="shared" si="55"/>
        <v>39.2325</v>
      </c>
      <c r="Q223" s="99">
        <f>$Q$23</f>
        <v>22.75</v>
      </c>
      <c r="R223" s="163">
        <f>$R$23</f>
        <v>0.03</v>
      </c>
      <c r="S223" s="99">
        <f>$S$23</f>
        <v>12</v>
      </c>
      <c r="T223" s="99">
        <f>$T$23</f>
        <v>3.5</v>
      </c>
      <c r="U223" s="99">
        <f>$U$23</f>
        <v>0.3</v>
      </c>
      <c r="V223" s="37">
        <f t="shared" si="56"/>
        <v>892.5786075</v>
      </c>
      <c r="W223" s="139"/>
      <c r="X223" s="139"/>
      <c r="Y223" s="139"/>
      <c r="Z223" s="139"/>
      <c r="AA223" s="139"/>
      <c r="AB223" s="139"/>
      <c r="AC223" s="140"/>
      <c r="AD223" s="140"/>
    </row>
    <row r="224" s="119" customFormat="1" ht="24" customHeight="1" outlineLevel="1" spans="1:30">
      <c r="A224" s="141"/>
      <c r="B224" s="14" t="s">
        <v>101</v>
      </c>
      <c r="C224" s="15"/>
      <c r="D224" s="142"/>
      <c r="E224" s="143"/>
      <c r="F224" s="143"/>
      <c r="G224" s="143"/>
      <c r="H224" s="143"/>
      <c r="I224" s="143"/>
      <c r="J224" s="143"/>
      <c r="K224" s="144"/>
      <c r="L224" s="135"/>
      <c r="M224" s="136"/>
      <c r="N224" s="136"/>
      <c r="O224" s="136"/>
      <c r="P224" s="137"/>
      <c r="Q224" s="137"/>
      <c r="R224" s="138"/>
      <c r="S224" s="137"/>
      <c r="T224" s="137"/>
      <c r="U224" s="137"/>
      <c r="V224" s="137"/>
      <c r="W224" s="139"/>
      <c r="X224" s="139"/>
      <c r="Y224" s="139"/>
      <c r="Z224" s="139"/>
      <c r="AA224" s="139"/>
      <c r="AB224" s="139"/>
      <c r="AC224" s="140"/>
      <c r="AD224" s="140"/>
    </row>
    <row r="225" s="119" customFormat="1" ht="96" customHeight="1" outlineLevel="2" spans="1:30">
      <c r="A225" s="162">
        <f>1+N(A224)</f>
        <v>1</v>
      </c>
      <c r="B225" s="14" t="s">
        <v>460</v>
      </c>
      <c r="C225" s="167" t="s">
        <v>103</v>
      </c>
      <c r="D225" s="142" t="s">
        <v>63</v>
      </c>
      <c r="E225" s="143">
        <v>25.022</v>
      </c>
      <c r="F225" s="143">
        <f>$F$25</f>
        <v>70</v>
      </c>
      <c r="G225" s="143">
        <f>$G$25</f>
        <v>0</v>
      </c>
      <c r="H225" s="143">
        <f>$H$25</f>
        <v>66.711</v>
      </c>
      <c r="I225" s="17">
        <f>(F225+G225+H225)*$I$3</f>
        <v>13.6711</v>
      </c>
      <c r="J225" s="18">
        <f>ROUND(SUM(F225:I225),2)</f>
        <v>150.38</v>
      </c>
      <c r="K225" s="19">
        <f>ROUND(J225*E225,2)</f>
        <v>3762.81</v>
      </c>
      <c r="L225" s="135"/>
      <c r="M225" s="136"/>
      <c r="N225" s="136"/>
      <c r="O225" s="136"/>
      <c r="P225" s="37">
        <f>Q225+Q225*R225+S225+T225+U225</f>
        <v>136.711</v>
      </c>
      <c r="Q225" s="99">
        <f>$Q$25</f>
        <v>0</v>
      </c>
      <c r="R225" s="163">
        <f>$R$25</f>
        <v>0.01</v>
      </c>
      <c r="S225" s="99">
        <f>$S$25</f>
        <v>70</v>
      </c>
      <c r="T225" s="99">
        <f>$T$25</f>
        <v>64.711</v>
      </c>
      <c r="U225" s="99">
        <f>$U$25</f>
        <v>2</v>
      </c>
      <c r="V225" s="37">
        <f>P225*E225</f>
        <v>3420.782642</v>
      </c>
      <c r="W225" s="139"/>
      <c r="X225" s="139"/>
      <c r="Y225" s="139"/>
      <c r="Z225" s="139"/>
      <c r="AA225" s="139"/>
      <c r="AB225" s="139"/>
      <c r="AC225" s="140"/>
      <c r="AD225" s="140"/>
    </row>
    <row r="226" s="119" customFormat="1" ht="72" customHeight="1" outlineLevel="2" spans="1:30">
      <c r="A226" s="162">
        <f>1+N(A225)</f>
        <v>2</v>
      </c>
      <c r="B226" s="14" t="s">
        <v>104</v>
      </c>
      <c r="C226" s="167" t="s">
        <v>105</v>
      </c>
      <c r="D226" s="142" t="s">
        <v>70</v>
      </c>
      <c r="E226" s="143">
        <v>17.282</v>
      </c>
      <c r="F226" s="143">
        <f>$F$127</f>
        <v>50</v>
      </c>
      <c r="G226" s="143">
        <f>$G$127</f>
        <v>0</v>
      </c>
      <c r="H226" s="143">
        <f>$H$127</f>
        <v>22.0941</v>
      </c>
      <c r="I226" s="17">
        <f>(F226+G226+H226)*$I$3</f>
        <v>7.20941</v>
      </c>
      <c r="J226" s="18">
        <f>ROUND(SUM(F226:I226),2)</f>
        <v>79.3</v>
      </c>
      <c r="K226" s="19">
        <f>ROUND(J226*E226,2)</f>
        <v>1370.46</v>
      </c>
      <c r="L226" s="135"/>
      <c r="M226" s="136"/>
      <c r="N226" s="136"/>
      <c r="O226" s="136"/>
      <c r="P226" s="37">
        <f>Q226+Q226*R226+S226+T226+U226</f>
        <v>72.0941</v>
      </c>
      <c r="Q226" s="99">
        <f>$Q$127</f>
        <v>0</v>
      </c>
      <c r="R226" s="163">
        <f>$R$127</f>
        <v>0.01</v>
      </c>
      <c r="S226" s="99">
        <f>$S$127</f>
        <v>50</v>
      </c>
      <c r="T226" s="99">
        <f>$T$127</f>
        <v>22.0941</v>
      </c>
      <c r="U226" s="99">
        <f>$U$127</f>
        <v>0</v>
      </c>
      <c r="V226" s="37">
        <f>P226*E226</f>
        <v>1245.9302362</v>
      </c>
      <c r="W226" s="139"/>
      <c r="X226" s="139"/>
      <c r="Y226" s="139"/>
      <c r="Z226" s="139"/>
      <c r="AA226" s="139"/>
      <c r="AB226" s="139"/>
      <c r="AC226" s="140"/>
      <c r="AD226" s="140"/>
    </row>
    <row r="227" s="119" customFormat="1" ht="72" customHeight="1" outlineLevel="2" spans="1:30">
      <c r="A227" s="162">
        <f>1+N(A226)</f>
        <v>3</v>
      </c>
      <c r="B227" s="14" t="s">
        <v>106</v>
      </c>
      <c r="C227" s="15" t="s">
        <v>107</v>
      </c>
      <c r="D227" s="142" t="s">
        <v>70</v>
      </c>
      <c r="E227" s="143">
        <v>17.282</v>
      </c>
      <c r="F227" s="143">
        <f>$F$27</f>
        <v>18</v>
      </c>
      <c r="G227" s="143">
        <f>$G$27</f>
        <v>163.255</v>
      </c>
      <c r="H227" s="143">
        <f>$H$27</f>
        <v>3.8</v>
      </c>
      <c r="I227" s="17">
        <f>(F227+G227+H227)*$I$3</f>
        <v>18.5055</v>
      </c>
      <c r="J227" s="18">
        <f>ROUND(SUM(F227:I227),2)</f>
        <v>203.56</v>
      </c>
      <c r="K227" s="19">
        <f>ROUND(J227*E227,2)</f>
        <v>3517.92</v>
      </c>
      <c r="L227" s="135"/>
      <c r="M227" s="136"/>
      <c r="N227" s="136"/>
      <c r="O227" s="136"/>
      <c r="P227" s="37">
        <f>Q227+Q227*R227+S227+T227+U227</f>
        <v>185.055</v>
      </c>
      <c r="Q227" s="99">
        <f>$Q$27</f>
        <v>158.5</v>
      </c>
      <c r="R227" s="163">
        <f>$R$27</f>
        <v>0.03</v>
      </c>
      <c r="S227" s="99">
        <f>$S$27</f>
        <v>18</v>
      </c>
      <c r="T227" s="99">
        <f>$T$27</f>
        <v>3.5</v>
      </c>
      <c r="U227" s="99">
        <f>$U$27</f>
        <v>0.3</v>
      </c>
      <c r="V227" s="37">
        <f>P227*E227</f>
        <v>3198.12051</v>
      </c>
      <c r="W227" s="139"/>
      <c r="X227" s="139"/>
      <c r="Y227" s="139"/>
      <c r="Z227" s="139"/>
      <c r="AA227" s="139"/>
      <c r="AB227" s="139"/>
      <c r="AC227" s="140"/>
      <c r="AD227" s="140"/>
    </row>
    <row r="228" s="119" customFormat="1" ht="72" customHeight="1" outlineLevel="2" spans="1:30">
      <c r="A228" s="162">
        <f>1+N(A227)</f>
        <v>4</v>
      </c>
      <c r="B228" s="14" t="s">
        <v>108</v>
      </c>
      <c r="C228" s="15" t="s">
        <v>109</v>
      </c>
      <c r="D228" s="142" t="s">
        <v>70</v>
      </c>
      <c r="E228" s="143">
        <f>5.12*2</f>
        <v>10.24</v>
      </c>
      <c r="F228" s="143">
        <f>$F$28</f>
        <v>30</v>
      </c>
      <c r="G228" s="143">
        <f>$G$28</f>
        <v>65.6625</v>
      </c>
      <c r="H228" s="143">
        <f>$H$28</f>
        <v>2.7</v>
      </c>
      <c r="I228" s="17">
        <f>(F228+G228+H228)*$I$3</f>
        <v>9.83625</v>
      </c>
      <c r="J228" s="18">
        <f>ROUND(SUM(F228:I228),2)</f>
        <v>108.2</v>
      </c>
      <c r="K228" s="19">
        <f>ROUND(J228*E228,2)</f>
        <v>1107.97</v>
      </c>
      <c r="L228" s="135"/>
      <c r="M228" s="136"/>
      <c r="N228" s="136"/>
      <c r="O228" s="136"/>
      <c r="P228" s="37">
        <f>Q228+Q228*R228+S228+T228+U228</f>
        <v>98.3625</v>
      </c>
      <c r="Q228" s="99">
        <f>$Q$28</f>
        <v>63.75</v>
      </c>
      <c r="R228" s="163">
        <f>$R$28</f>
        <v>0.03</v>
      </c>
      <c r="S228" s="99">
        <f>$S$28</f>
        <v>30</v>
      </c>
      <c r="T228" s="99">
        <f>$T$28</f>
        <v>2.5</v>
      </c>
      <c r="U228" s="99">
        <f>$U$28</f>
        <v>0.2</v>
      </c>
      <c r="V228" s="37">
        <f>P228*E228</f>
        <v>1007.232</v>
      </c>
      <c r="W228" s="139"/>
      <c r="X228" s="139"/>
      <c r="Y228" s="139"/>
      <c r="Z228" s="139"/>
      <c r="AA228" s="139"/>
      <c r="AB228" s="139"/>
      <c r="AC228" s="140"/>
      <c r="AD228" s="140"/>
    </row>
    <row r="229" s="119" customFormat="1" ht="72" customHeight="1" outlineLevel="2" spans="1:30">
      <c r="A229" s="162">
        <f>1+N(A228)</f>
        <v>5</v>
      </c>
      <c r="B229" s="14" t="s">
        <v>110</v>
      </c>
      <c r="C229" s="15" t="s">
        <v>111</v>
      </c>
      <c r="D229" s="142" t="s">
        <v>63</v>
      </c>
      <c r="E229" s="143">
        <v>30.972</v>
      </c>
      <c r="F229" s="143">
        <f>$F$29</f>
        <v>45</v>
      </c>
      <c r="G229" s="143">
        <f>$G$29</f>
        <v>85.5</v>
      </c>
      <c r="H229" s="143">
        <f>$H$29</f>
        <v>7.3</v>
      </c>
      <c r="I229" s="17">
        <f>(F229+G229+H229)*$I$3</f>
        <v>13.78</v>
      </c>
      <c r="J229" s="18">
        <f>ROUND(SUM(F229:I229),2)</f>
        <v>151.58</v>
      </c>
      <c r="K229" s="19">
        <f>ROUND(J229*E229,2)</f>
        <v>4694.74</v>
      </c>
      <c r="L229" s="135"/>
      <c r="M229" s="136"/>
      <c r="N229" s="136"/>
      <c r="O229" s="136"/>
      <c r="P229" s="37">
        <f>Q229+Q229*R229+S229+T229+U229</f>
        <v>137.8</v>
      </c>
      <c r="Q229" s="99">
        <f>$Q$29</f>
        <v>85.5</v>
      </c>
      <c r="R229" s="163">
        <f>$R$29</f>
        <v>0</v>
      </c>
      <c r="S229" s="99">
        <f>$S$29</f>
        <v>45</v>
      </c>
      <c r="T229" s="99">
        <f>$T$29</f>
        <v>6.5</v>
      </c>
      <c r="U229" s="99">
        <f>$U$29</f>
        <v>0.8</v>
      </c>
      <c r="V229" s="37">
        <f>P229*E229</f>
        <v>4267.9416</v>
      </c>
      <c r="W229" s="139"/>
      <c r="X229" s="139"/>
      <c r="Y229" s="139"/>
      <c r="Z229" s="139"/>
      <c r="AA229" s="139"/>
      <c r="AB229" s="139"/>
      <c r="AC229" s="140"/>
      <c r="AD229" s="140"/>
    </row>
    <row r="230" s="119" customFormat="1" ht="24" customHeight="1" outlineLevel="1" spans="1:30">
      <c r="A230" s="141"/>
      <c r="B230" s="14" t="s">
        <v>112</v>
      </c>
      <c r="C230" s="15"/>
      <c r="D230" s="142"/>
      <c r="E230" s="143"/>
      <c r="F230" s="143"/>
      <c r="G230" s="143"/>
      <c r="H230" s="143"/>
      <c r="I230" s="143"/>
      <c r="J230" s="143"/>
      <c r="K230" s="144"/>
      <c r="L230" s="135"/>
      <c r="M230" s="136"/>
      <c r="N230" s="136"/>
      <c r="O230" s="136"/>
      <c r="P230" s="137"/>
      <c r="Q230" s="137"/>
      <c r="R230" s="138"/>
      <c r="S230" s="137"/>
      <c r="T230" s="137"/>
      <c r="U230" s="137"/>
      <c r="V230" s="137"/>
      <c r="W230" s="139"/>
      <c r="X230" s="139"/>
      <c r="Y230" s="139"/>
      <c r="Z230" s="139"/>
      <c r="AA230" s="139"/>
      <c r="AB230" s="139"/>
      <c r="AC230" s="140"/>
      <c r="AD230" s="140"/>
    </row>
    <row r="231" s="119" customFormat="1" ht="24" customHeight="1" outlineLevel="1" spans="1:30">
      <c r="A231" s="132" t="s">
        <v>119</v>
      </c>
      <c r="B231" s="8" t="s">
        <v>523</v>
      </c>
      <c r="C231" s="8"/>
      <c r="D231" s="133"/>
      <c r="E231" s="134"/>
      <c r="F231" s="134"/>
      <c r="G231" s="134"/>
      <c r="H231" s="134"/>
      <c r="I231" s="134"/>
      <c r="J231" s="134"/>
      <c r="K231" s="11"/>
      <c r="L231" s="135"/>
      <c r="M231" s="136"/>
      <c r="N231" s="136"/>
      <c r="O231" s="136"/>
      <c r="P231" s="137"/>
      <c r="Q231" s="137"/>
      <c r="R231" s="138"/>
      <c r="S231" s="137"/>
      <c r="T231" s="137"/>
      <c r="U231" s="137"/>
      <c r="V231" s="137"/>
      <c r="W231" s="139"/>
      <c r="X231" s="139"/>
      <c r="Y231" s="139"/>
      <c r="Z231" s="139"/>
      <c r="AA231" s="139"/>
      <c r="AB231" s="139"/>
      <c r="AC231" s="140"/>
      <c r="AD231" s="140"/>
    </row>
    <row r="232" s="119" customFormat="1" ht="24" customHeight="1" outlineLevel="1" spans="1:30">
      <c r="A232" s="141"/>
      <c r="B232" s="14" t="s">
        <v>60</v>
      </c>
      <c r="C232" s="15"/>
      <c r="D232" s="142"/>
      <c r="E232" s="143"/>
      <c r="F232" s="143"/>
      <c r="G232" s="143"/>
      <c r="H232" s="143"/>
      <c r="I232" s="143"/>
      <c r="J232" s="143"/>
      <c r="K232" s="144"/>
      <c r="L232" s="135"/>
      <c r="M232" s="136"/>
      <c r="N232" s="136"/>
      <c r="O232" s="136"/>
      <c r="P232" s="137"/>
      <c r="Q232" s="137"/>
      <c r="R232" s="138"/>
      <c r="S232" s="137"/>
      <c r="T232" s="137"/>
      <c r="U232" s="137"/>
      <c r="V232" s="137"/>
      <c r="W232" s="139"/>
      <c r="X232" s="139"/>
      <c r="Y232" s="139"/>
      <c r="Z232" s="139"/>
      <c r="AA232" s="139"/>
      <c r="AB232" s="139"/>
      <c r="AC232" s="140"/>
      <c r="AD232" s="140"/>
    </row>
    <row r="233" s="119" customFormat="1" ht="96" customHeight="1" outlineLevel="2" spans="1:30">
      <c r="A233" s="162">
        <f>1+N(A232)</f>
        <v>1</v>
      </c>
      <c r="B233" s="14" t="s">
        <v>61</v>
      </c>
      <c r="C233" s="15" t="s">
        <v>62</v>
      </c>
      <c r="D233" s="142" t="s">
        <v>63</v>
      </c>
      <c r="E233" s="143">
        <v>6.892</v>
      </c>
      <c r="F233" s="143">
        <f>$F$7</f>
        <v>130</v>
      </c>
      <c r="G233" s="143">
        <f>$G$7</f>
        <v>628.3</v>
      </c>
      <c r="H233" s="17">
        <f>$H$7</f>
        <v>47.7</v>
      </c>
      <c r="I233" s="17">
        <f>(F233+G233+H233)*$I$3</f>
        <v>80.6</v>
      </c>
      <c r="J233" s="18">
        <f>ROUND(SUM(F233:I233),2)</f>
        <v>886.6</v>
      </c>
      <c r="K233" s="19">
        <f>ROUND(J233*E233,2)</f>
        <v>6110.45</v>
      </c>
      <c r="L233" s="135"/>
      <c r="M233" s="136"/>
      <c r="N233" s="136"/>
      <c r="O233" s="136"/>
      <c r="P233" s="137">
        <f>Q233+Q233*R233+S233+T233+U233</f>
        <v>806</v>
      </c>
      <c r="Q233" s="99">
        <f>$Q$7</f>
        <v>610</v>
      </c>
      <c r="R233" s="163">
        <f>$R$7</f>
        <v>0.03</v>
      </c>
      <c r="S233" s="99">
        <f>$S$7</f>
        <v>130</v>
      </c>
      <c r="T233" s="99">
        <f>$T$7</f>
        <v>46.2</v>
      </c>
      <c r="U233" s="99">
        <f>$U$7</f>
        <v>1.5</v>
      </c>
      <c r="V233" s="37">
        <f>P233*E233</f>
        <v>5554.952</v>
      </c>
      <c r="W233" s="139"/>
      <c r="X233" s="139"/>
      <c r="Y233" s="139"/>
      <c r="Z233" s="139"/>
      <c r="AA233" s="139"/>
      <c r="AB233" s="139"/>
      <c r="AC233" s="140"/>
      <c r="AD233" s="140"/>
    </row>
    <row r="234" s="119" customFormat="1" ht="108" customHeight="1" outlineLevel="2" spans="1:30">
      <c r="A234" s="162">
        <f>1+N(A233)</f>
        <v>2</v>
      </c>
      <c r="B234" s="14" t="s">
        <v>64</v>
      </c>
      <c r="C234" s="15" t="s">
        <v>65</v>
      </c>
      <c r="D234" s="142" t="s">
        <v>63</v>
      </c>
      <c r="E234" s="143">
        <v>17.115</v>
      </c>
      <c r="F234" s="143">
        <f>$F$8</f>
        <v>130</v>
      </c>
      <c r="G234" s="143">
        <f>$G$8</f>
        <v>854.9</v>
      </c>
      <c r="H234" s="143">
        <f>$H$8</f>
        <v>47.7</v>
      </c>
      <c r="I234" s="17">
        <f>(F234+G234+H234)*$I$3</f>
        <v>103.26</v>
      </c>
      <c r="J234" s="18">
        <f>ROUND(SUM(F234:I234),2)</f>
        <v>1135.86</v>
      </c>
      <c r="K234" s="19">
        <f>ROUND(J234*E234,2)</f>
        <v>19440.24</v>
      </c>
      <c r="L234" s="135"/>
      <c r="M234" s="136"/>
      <c r="N234" s="136"/>
      <c r="O234" s="136"/>
      <c r="P234" s="137">
        <f>Q234+Q234*R234+S234+T234+U234</f>
        <v>1032.6</v>
      </c>
      <c r="Q234" s="99">
        <f>$Q$8</f>
        <v>830</v>
      </c>
      <c r="R234" s="163">
        <f>$R$8</f>
        <v>0.03</v>
      </c>
      <c r="S234" s="99">
        <f>$S$8</f>
        <v>130</v>
      </c>
      <c r="T234" s="99">
        <f>$T$8</f>
        <v>46.2</v>
      </c>
      <c r="U234" s="99">
        <f>$U$8</f>
        <v>1.5</v>
      </c>
      <c r="V234" s="37">
        <f>P234*E234</f>
        <v>17672.949</v>
      </c>
      <c r="W234" s="139"/>
      <c r="X234" s="139"/>
      <c r="Y234" s="139"/>
      <c r="Z234" s="139"/>
      <c r="AA234" s="139"/>
      <c r="AB234" s="139"/>
      <c r="AC234" s="140"/>
      <c r="AD234" s="140"/>
    </row>
    <row r="235" s="119" customFormat="1" ht="36" customHeight="1" outlineLevel="2" spans="1:30">
      <c r="A235" s="162">
        <f>1+N(A234)</f>
        <v>3</v>
      </c>
      <c r="B235" s="14" t="s">
        <v>68</v>
      </c>
      <c r="C235" s="15" t="s">
        <v>69</v>
      </c>
      <c r="D235" s="142" t="s">
        <v>70</v>
      </c>
      <c r="E235" s="143">
        <v>17.725</v>
      </c>
      <c r="F235" s="143">
        <f>$F$9</f>
        <v>12</v>
      </c>
      <c r="G235" s="143">
        <f>$G$9</f>
        <v>19.57</v>
      </c>
      <c r="H235" s="143">
        <f>$H$9</f>
        <v>0.5</v>
      </c>
      <c r="I235" s="17">
        <f>(F235+G235+H235)*$I$3</f>
        <v>3.207</v>
      </c>
      <c r="J235" s="18">
        <f>ROUND(SUM(F235:I235),2)</f>
        <v>35.28</v>
      </c>
      <c r="K235" s="19">
        <f>ROUND(J235*E235,2)</f>
        <v>625.34</v>
      </c>
      <c r="L235" s="135"/>
      <c r="M235" s="136"/>
      <c r="N235" s="136"/>
      <c r="O235" s="136"/>
      <c r="P235" s="37">
        <f>Q235+Q235*R235+S235+T235+U235</f>
        <v>32.07</v>
      </c>
      <c r="Q235" s="99">
        <f>$Q$9</f>
        <v>19</v>
      </c>
      <c r="R235" s="163">
        <f>$R$9</f>
        <v>0.03</v>
      </c>
      <c r="S235" s="99">
        <f>$S$9</f>
        <v>12</v>
      </c>
      <c r="T235" s="99">
        <f>$T$9</f>
        <v>0.3</v>
      </c>
      <c r="U235" s="99">
        <f>$U$9</f>
        <v>0.2</v>
      </c>
      <c r="V235" s="37">
        <f>P235*E235</f>
        <v>568.44075</v>
      </c>
      <c r="W235" s="139"/>
      <c r="X235" s="139"/>
      <c r="Y235" s="139"/>
      <c r="Z235" s="139"/>
      <c r="AA235" s="139"/>
      <c r="AB235" s="139"/>
      <c r="AC235" s="140"/>
      <c r="AD235" s="140"/>
    </row>
    <row r="236" s="119" customFormat="1" ht="48" customHeight="1" outlineLevel="2" spans="1:30">
      <c r="A236" s="162">
        <f>1+N(A235)</f>
        <v>4</v>
      </c>
      <c r="B236" s="14" t="s">
        <v>71</v>
      </c>
      <c r="C236" s="15" t="s">
        <v>72</v>
      </c>
      <c r="D236" s="142" t="s">
        <v>63</v>
      </c>
      <c r="E236" s="143">
        <f>+E233+E234</f>
        <v>24.007</v>
      </c>
      <c r="F236" s="143">
        <f>$F$10</f>
        <v>40</v>
      </c>
      <c r="G236" s="143">
        <f>$G$10</f>
        <v>15</v>
      </c>
      <c r="H236" s="143">
        <f>$H$10</f>
        <v>0.8</v>
      </c>
      <c r="I236" s="17">
        <f>(F236+G236+H236)*$I$3</f>
        <v>5.58</v>
      </c>
      <c r="J236" s="18">
        <f>ROUND(SUM(F236:I236),2)</f>
        <v>61.38</v>
      </c>
      <c r="K236" s="19">
        <f>ROUND(J236*E236,2)</f>
        <v>1473.55</v>
      </c>
      <c r="L236" s="135"/>
      <c r="M236" s="136"/>
      <c r="N236" s="136"/>
      <c r="O236" s="136"/>
      <c r="P236" s="37">
        <f>Q236+Q236*R236+S236+T236+U236</f>
        <v>55.8</v>
      </c>
      <c r="Q236" s="99">
        <f>$Q$10</f>
        <v>15</v>
      </c>
      <c r="R236" s="163">
        <f>$R$10</f>
        <v>0</v>
      </c>
      <c r="S236" s="99">
        <f>$S$10</f>
        <v>40</v>
      </c>
      <c r="T236" s="99">
        <f>$T$10</f>
        <v>0.5</v>
      </c>
      <c r="U236" s="99">
        <f>$U$10</f>
        <v>0.3</v>
      </c>
      <c r="V236" s="37">
        <f>P236*E236</f>
        <v>1339.5906</v>
      </c>
      <c r="W236" s="139"/>
      <c r="X236" s="139"/>
      <c r="Y236" s="139"/>
      <c r="Z236" s="139"/>
      <c r="AA236" s="139"/>
      <c r="AB236" s="139"/>
      <c r="AC236" s="140"/>
      <c r="AD236" s="140"/>
    </row>
    <row r="237" s="119" customFormat="1" ht="24" customHeight="1" outlineLevel="1" spans="1:30">
      <c r="A237" s="141"/>
      <c r="B237" s="14" t="s">
        <v>494</v>
      </c>
      <c r="C237" s="15"/>
      <c r="D237" s="142"/>
      <c r="E237" s="143"/>
      <c r="F237" s="143"/>
      <c r="G237" s="143"/>
      <c r="H237" s="143"/>
      <c r="I237" s="143"/>
      <c r="J237" s="143"/>
      <c r="K237" s="144"/>
      <c r="L237" s="135"/>
      <c r="M237" s="136"/>
      <c r="N237" s="136"/>
      <c r="O237" s="136"/>
      <c r="P237" s="137"/>
      <c r="Q237" s="137"/>
      <c r="R237" s="138"/>
      <c r="S237" s="137"/>
      <c r="T237" s="137"/>
      <c r="U237" s="137"/>
      <c r="V237" s="137"/>
      <c r="W237" s="139"/>
      <c r="X237" s="139"/>
      <c r="Y237" s="139"/>
      <c r="Z237" s="139"/>
      <c r="AA237" s="139"/>
      <c r="AB237" s="139"/>
      <c r="AC237" s="140"/>
      <c r="AD237" s="140"/>
    </row>
    <row r="238" s="119" customFormat="1" ht="72" customHeight="1" outlineLevel="2" spans="1:30">
      <c r="A238" s="162">
        <f t="shared" ref="A238:A245" si="57">1+N(A237)</f>
        <v>1</v>
      </c>
      <c r="B238" s="164" t="s">
        <v>74</v>
      </c>
      <c r="C238" s="15" t="s">
        <v>75</v>
      </c>
      <c r="D238" s="142" t="s">
        <v>63</v>
      </c>
      <c r="E238" s="143">
        <v>8.447</v>
      </c>
      <c r="F238" s="143">
        <f>$F$12</f>
        <v>95</v>
      </c>
      <c r="G238" s="143">
        <f>$G$12</f>
        <v>813.75</v>
      </c>
      <c r="H238" s="143">
        <f>$H$12</f>
        <v>18.3</v>
      </c>
      <c r="I238" s="17">
        <f t="shared" ref="I238:I245" si="58">(F238+G238+H238)*$I$3</f>
        <v>92.705</v>
      </c>
      <c r="J238" s="18">
        <f t="shared" ref="J238:J245" si="59">ROUND(SUM(F238:I238),2)</f>
        <v>1019.76</v>
      </c>
      <c r="K238" s="19">
        <f t="shared" ref="K238:K245" si="60">ROUND(J238*E238,2)</f>
        <v>8613.91</v>
      </c>
      <c r="L238" s="135"/>
      <c r="M238" s="136"/>
      <c r="N238" s="136"/>
      <c r="O238" s="136"/>
      <c r="P238" s="37">
        <f t="shared" ref="P238:P245" si="61">Q238+Q238*R238+S238+T238+U238</f>
        <v>927.05</v>
      </c>
      <c r="Q238" s="99">
        <f>$Q$12</f>
        <v>775</v>
      </c>
      <c r="R238" s="163">
        <f>$R$12</f>
        <v>0.05</v>
      </c>
      <c r="S238" s="99">
        <f>$S$12</f>
        <v>95</v>
      </c>
      <c r="T238" s="99">
        <f>$T$12</f>
        <v>16.8</v>
      </c>
      <c r="U238" s="99">
        <f>$U$12</f>
        <v>1.5</v>
      </c>
      <c r="V238" s="37">
        <f t="shared" ref="V238:V245" si="62">P238*E238</f>
        <v>7830.79135</v>
      </c>
      <c r="W238" s="139"/>
      <c r="X238" s="139"/>
      <c r="Y238" s="139"/>
      <c r="Z238" s="139"/>
      <c r="AA238" s="139"/>
      <c r="AB238" s="139"/>
      <c r="AC238" s="140"/>
      <c r="AD238" s="140"/>
    </row>
    <row r="239" s="119" customFormat="1" ht="96" customHeight="1" outlineLevel="2" spans="1:30">
      <c r="A239" s="162">
        <f t="shared" si="57"/>
        <v>2</v>
      </c>
      <c r="B239" s="165" t="s">
        <v>76</v>
      </c>
      <c r="C239" s="166" t="s">
        <v>77</v>
      </c>
      <c r="D239" s="142" t="s">
        <v>63</v>
      </c>
      <c r="E239" s="143">
        <v>32.965</v>
      </c>
      <c r="F239" s="143">
        <f>$F$13</f>
        <v>145</v>
      </c>
      <c r="G239" s="143">
        <f>$G$13</f>
        <v>651</v>
      </c>
      <c r="H239" s="143">
        <f>$H$13</f>
        <v>113.55</v>
      </c>
      <c r="I239" s="17">
        <f t="shared" si="58"/>
        <v>90.955</v>
      </c>
      <c r="J239" s="18">
        <f t="shared" si="59"/>
        <v>1000.51</v>
      </c>
      <c r="K239" s="19">
        <f t="shared" si="60"/>
        <v>32981.81</v>
      </c>
      <c r="L239" s="135"/>
      <c r="M239" s="136"/>
      <c r="N239" s="136"/>
      <c r="O239" s="136"/>
      <c r="P239" s="37">
        <f t="shared" si="61"/>
        <v>909.55</v>
      </c>
      <c r="Q239" s="99">
        <f>$Q$13</f>
        <v>620</v>
      </c>
      <c r="R239" s="163">
        <f>$R$13</f>
        <v>0.05</v>
      </c>
      <c r="S239" s="99">
        <f>$S$13</f>
        <v>145</v>
      </c>
      <c r="T239" s="99">
        <f>$T$13</f>
        <v>111.75</v>
      </c>
      <c r="U239" s="99">
        <f>$U$13</f>
        <v>1.8</v>
      </c>
      <c r="V239" s="37">
        <f t="shared" si="62"/>
        <v>29983.31575</v>
      </c>
      <c r="W239" s="139"/>
      <c r="X239" s="139"/>
      <c r="Y239" s="139"/>
      <c r="Z239" s="139"/>
      <c r="AA239" s="139"/>
      <c r="AB239" s="139"/>
      <c r="AC239" s="140"/>
      <c r="AD239" s="140"/>
    </row>
    <row r="240" s="119" customFormat="1" ht="48" customHeight="1" outlineLevel="2" spans="1:30">
      <c r="A240" s="162">
        <f t="shared" si="57"/>
        <v>3</v>
      </c>
      <c r="B240" s="165" t="s">
        <v>84</v>
      </c>
      <c r="C240" s="166" t="s">
        <v>83</v>
      </c>
      <c r="D240" s="165" t="s">
        <v>63</v>
      </c>
      <c r="E240" s="143">
        <f>0.34*2.5*2*2</f>
        <v>3.4</v>
      </c>
      <c r="F240" s="143">
        <f>$F$17</f>
        <v>110</v>
      </c>
      <c r="G240" s="143">
        <f>$G$17</f>
        <v>454.5</v>
      </c>
      <c r="H240" s="143">
        <f>$H$17</f>
        <v>55.2</v>
      </c>
      <c r="I240" s="17">
        <f t="shared" si="58"/>
        <v>61.97</v>
      </c>
      <c r="J240" s="18">
        <f t="shared" si="59"/>
        <v>681.67</v>
      </c>
      <c r="K240" s="19">
        <f t="shared" si="60"/>
        <v>2317.68</v>
      </c>
      <c r="L240" s="135"/>
      <c r="M240" s="136"/>
      <c r="N240" s="136"/>
      <c r="O240" s="136"/>
      <c r="P240" s="37">
        <f t="shared" si="61"/>
        <v>619.7</v>
      </c>
      <c r="Q240" s="99">
        <f>$Q$17</f>
        <v>450</v>
      </c>
      <c r="R240" s="163">
        <f>$R$17</f>
        <v>0.01</v>
      </c>
      <c r="S240" s="99">
        <f>$S$17</f>
        <v>110</v>
      </c>
      <c r="T240" s="99">
        <f>$T$17</f>
        <v>54</v>
      </c>
      <c r="U240" s="99">
        <f>$U$17</f>
        <v>1.2</v>
      </c>
      <c r="V240" s="37">
        <f t="shared" si="62"/>
        <v>2106.98</v>
      </c>
      <c r="W240" s="139"/>
      <c r="X240" s="139"/>
      <c r="Y240" s="139"/>
      <c r="Z240" s="139"/>
      <c r="AA240" s="139"/>
      <c r="AB240" s="139"/>
      <c r="AC240" s="140"/>
      <c r="AD240" s="140"/>
    </row>
    <row r="241" s="119" customFormat="1" ht="60" customHeight="1" outlineLevel="2" spans="1:30">
      <c r="A241" s="162">
        <f t="shared" si="57"/>
        <v>4</v>
      </c>
      <c r="B241" s="165" t="s">
        <v>85</v>
      </c>
      <c r="C241" s="166" t="s">
        <v>86</v>
      </c>
      <c r="D241" s="165" t="s">
        <v>63</v>
      </c>
      <c r="E241" s="143">
        <f>+(0.061+0.22+0.114+0.074)*0.95*2</f>
        <v>0.8911</v>
      </c>
      <c r="F241" s="143">
        <f>$F$18</f>
        <v>110</v>
      </c>
      <c r="G241" s="143">
        <f>$G$18</f>
        <v>454.5</v>
      </c>
      <c r="H241" s="143">
        <f>$H$18</f>
        <v>55.2</v>
      </c>
      <c r="I241" s="17">
        <f t="shared" si="58"/>
        <v>61.97</v>
      </c>
      <c r="J241" s="18">
        <f t="shared" si="59"/>
        <v>681.67</v>
      </c>
      <c r="K241" s="19">
        <f t="shared" si="60"/>
        <v>607.44</v>
      </c>
      <c r="L241" s="135"/>
      <c r="M241" s="136"/>
      <c r="N241" s="136"/>
      <c r="O241" s="136"/>
      <c r="P241" s="37">
        <f t="shared" si="61"/>
        <v>619.7</v>
      </c>
      <c r="Q241" s="99">
        <f>$Q$18</f>
        <v>450</v>
      </c>
      <c r="R241" s="163">
        <f>$R$18</f>
        <v>0.01</v>
      </c>
      <c r="S241" s="99">
        <f>$S$18</f>
        <v>110</v>
      </c>
      <c r="T241" s="99">
        <f>$T$18</f>
        <v>54</v>
      </c>
      <c r="U241" s="99">
        <f>$U$18</f>
        <v>1.2</v>
      </c>
      <c r="V241" s="37">
        <f t="shared" si="62"/>
        <v>552.21467</v>
      </c>
      <c r="W241" s="139"/>
      <c r="X241" s="139"/>
      <c r="Y241" s="139"/>
      <c r="Z241" s="139"/>
      <c r="AA241" s="139"/>
      <c r="AB241" s="139"/>
      <c r="AC241" s="140"/>
      <c r="AD241" s="140"/>
    </row>
    <row r="242" s="119" customFormat="1" ht="48" customHeight="1" outlineLevel="2" spans="1:30">
      <c r="A242" s="162">
        <f t="shared" si="57"/>
        <v>5</v>
      </c>
      <c r="B242" s="165" t="s">
        <v>87</v>
      </c>
      <c r="C242" s="166" t="s">
        <v>88</v>
      </c>
      <c r="D242" s="165" t="s">
        <v>63</v>
      </c>
      <c r="E242" s="143">
        <v>0.253</v>
      </c>
      <c r="F242" s="143">
        <f>$F$19</f>
        <v>110</v>
      </c>
      <c r="G242" s="143">
        <f>$G$19</f>
        <v>454.5</v>
      </c>
      <c r="H242" s="143">
        <f>$H$19</f>
        <v>55.2</v>
      </c>
      <c r="I242" s="17">
        <f t="shared" si="58"/>
        <v>61.97</v>
      </c>
      <c r="J242" s="18">
        <f t="shared" si="59"/>
        <v>681.67</v>
      </c>
      <c r="K242" s="19">
        <f t="shared" si="60"/>
        <v>172.46</v>
      </c>
      <c r="L242" s="135"/>
      <c r="M242" s="136"/>
      <c r="N242" s="136"/>
      <c r="O242" s="136"/>
      <c r="P242" s="37">
        <f t="shared" si="61"/>
        <v>619.7</v>
      </c>
      <c r="Q242" s="99">
        <f>$Q$19</f>
        <v>450</v>
      </c>
      <c r="R242" s="163">
        <f>$R$19</f>
        <v>0.01</v>
      </c>
      <c r="S242" s="99">
        <f>$S$19</f>
        <v>110</v>
      </c>
      <c r="T242" s="99">
        <f>$T$19</f>
        <v>54</v>
      </c>
      <c r="U242" s="99">
        <f>$U$19</f>
        <v>1.2</v>
      </c>
      <c r="V242" s="37">
        <f t="shared" si="62"/>
        <v>156.7841</v>
      </c>
      <c r="W242" s="139"/>
      <c r="X242" s="139"/>
      <c r="Y242" s="139"/>
      <c r="Z242" s="139"/>
      <c r="AA242" s="139"/>
      <c r="AB242" s="139"/>
      <c r="AC242" s="140"/>
      <c r="AD242" s="140"/>
    </row>
    <row r="243" s="119" customFormat="1" ht="48" customHeight="1" outlineLevel="2" spans="1:30">
      <c r="A243" s="162">
        <f t="shared" si="57"/>
        <v>6</v>
      </c>
      <c r="B243" s="165" t="s">
        <v>91</v>
      </c>
      <c r="C243" s="166" t="s">
        <v>92</v>
      </c>
      <c r="D243" s="165" t="s">
        <v>70</v>
      </c>
      <c r="E243" s="143">
        <v>16.796</v>
      </c>
      <c r="F243" s="143">
        <f>$F$20</f>
        <v>12</v>
      </c>
      <c r="G243" s="143">
        <f>$G$20</f>
        <v>25.75</v>
      </c>
      <c r="H243" s="143">
        <f>$H$20</f>
        <v>3.8</v>
      </c>
      <c r="I243" s="17">
        <f t="shared" si="58"/>
        <v>4.155</v>
      </c>
      <c r="J243" s="18">
        <f t="shared" si="59"/>
        <v>45.71</v>
      </c>
      <c r="K243" s="19">
        <f t="shared" si="60"/>
        <v>767.75</v>
      </c>
      <c r="L243" s="135"/>
      <c r="M243" s="136"/>
      <c r="N243" s="136"/>
      <c r="O243" s="136"/>
      <c r="P243" s="37">
        <f t="shared" si="61"/>
        <v>41.55</v>
      </c>
      <c r="Q243" s="99">
        <f>$Q$20</f>
        <v>25</v>
      </c>
      <c r="R243" s="163">
        <f>$R$20</f>
        <v>0.03</v>
      </c>
      <c r="S243" s="99">
        <f>$S$20</f>
        <v>12</v>
      </c>
      <c r="T243" s="99">
        <f>$T$20</f>
        <v>3.5</v>
      </c>
      <c r="U243" s="99">
        <f>$U$20</f>
        <v>0.3</v>
      </c>
      <c r="V243" s="37">
        <f t="shared" si="62"/>
        <v>697.8738</v>
      </c>
      <c r="W243" s="139"/>
      <c r="X243" s="139"/>
      <c r="Y243" s="139"/>
      <c r="Z243" s="139"/>
      <c r="AA243" s="139"/>
      <c r="AB243" s="139"/>
      <c r="AC243" s="140"/>
      <c r="AD243" s="140"/>
    </row>
    <row r="244" s="119" customFormat="1" ht="48" customHeight="1" outlineLevel="2" spans="1:30">
      <c r="A244" s="162">
        <f t="shared" si="57"/>
        <v>7</v>
      </c>
      <c r="B244" s="165" t="s">
        <v>97</v>
      </c>
      <c r="C244" s="166" t="s">
        <v>98</v>
      </c>
      <c r="D244" s="165" t="s">
        <v>70</v>
      </c>
      <c r="E244" s="143">
        <v>14.948</v>
      </c>
      <c r="F244" s="143">
        <f>$F$22</f>
        <v>22</v>
      </c>
      <c r="G244" s="143">
        <f>$G$22</f>
        <v>58.195</v>
      </c>
      <c r="H244" s="143">
        <f>$H$22</f>
        <v>6.3</v>
      </c>
      <c r="I244" s="17">
        <f t="shared" si="58"/>
        <v>8.6495</v>
      </c>
      <c r="J244" s="18">
        <f t="shared" si="59"/>
        <v>95.14</v>
      </c>
      <c r="K244" s="19">
        <f t="shared" si="60"/>
        <v>1422.15</v>
      </c>
      <c r="L244" s="135"/>
      <c r="M244" s="136"/>
      <c r="N244" s="136"/>
      <c r="O244" s="136"/>
      <c r="P244" s="37">
        <f t="shared" si="61"/>
        <v>86.495</v>
      </c>
      <c r="Q244" s="99">
        <f>$Q$22</f>
        <v>56.5</v>
      </c>
      <c r="R244" s="163">
        <f>$R$22</f>
        <v>0.03</v>
      </c>
      <c r="S244" s="99">
        <f>$S$22</f>
        <v>22</v>
      </c>
      <c r="T244" s="99">
        <f>$T$22</f>
        <v>6</v>
      </c>
      <c r="U244" s="99">
        <f>$U$22</f>
        <v>0.3</v>
      </c>
      <c r="V244" s="37">
        <f t="shared" si="62"/>
        <v>1292.92726</v>
      </c>
      <c r="W244" s="139"/>
      <c r="X244" s="139"/>
      <c r="Y244" s="139"/>
      <c r="Z244" s="139"/>
      <c r="AA244" s="139"/>
      <c r="AB244" s="139"/>
      <c r="AC244" s="140"/>
      <c r="AD244" s="140"/>
    </row>
    <row r="245" s="119" customFormat="1" ht="48" customHeight="1" outlineLevel="2" spans="1:30">
      <c r="A245" s="162">
        <f t="shared" si="57"/>
        <v>8</v>
      </c>
      <c r="B245" s="165" t="s">
        <v>99</v>
      </c>
      <c r="C245" s="166" t="s">
        <v>100</v>
      </c>
      <c r="D245" s="165" t="s">
        <v>70</v>
      </c>
      <c r="E245" s="143">
        <v>18.661</v>
      </c>
      <c r="F245" s="143">
        <f>$F$23</f>
        <v>12</v>
      </c>
      <c r="G245" s="143">
        <f>$G$23</f>
        <v>23.4325</v>
      </c>
      <c r="H245" s="143">
        <f>$H$23</f>
        <v>3.8</v>
      </c>
      <c r="I245" s="17">
        <f t="shared" si="58"/>
        <v>3.92325</v>
      </c>
      <c r="J245" s="18">
        <f t="shared" si="59"/>
        <v>43.16</v>
      </c>
      <c r="K245" s="19">
        <f t="shared" si="60"/>
        <v>805.41</v>
      </c>
      <c r="L245" s="135"/>
      <c r="M245" s="136"/>
      <c r="N245" s="136"/>
      <c r="O245" s="136"/>
      <c r="P245" s="37">
        <f t="shared" si="61"/>
        <v>39.2325</v>
      </c>
      <c r="Q245" s="99">
        <f>$Q$23</f>
        <v>22.75</v>
      </c>
      <c r="R245" s="163">
        <f>$R$23</f>
        <v>0.03</v>
      </c>
      <c r="S245" s="99">
        <f>$S$23</f>
        <v>12</v>
      </c>
      <c r="T245" s="99">
        <f>$T$23</f>
        <v>3.5</v>
      </c>
      <c r="U245" s="99">
        <f>$U$23</f>
        <v>0.3</v>
      </c>
      <c r="V245" s="37">
        <f t="shared" si="62"/>
        <v>732.1176825</v>
      </c>
      <c r="W245" s="139"/>
      <c r="X245" s="139"/>
      <c r="Y245" s="139"/>
      <c r="Z245" s="139"/>
      <c r="AA245" s="139"/>
      <c r="AB245" s="139"/>
      <c r="AC245" s="140"/>
      <c r="AD245" s="140"/>
    </row>
    <row r="246" s="119" customFormat="1" ht="24" customHeight="1" outlineLevel="1" spans="1:30">
      <c r="A246" s="141"/>
      <c r="B246" s="14" t="s">
        <v>101</v>
      </c>
      <c r="C246" s="15"/>
      <c r="D246" s="142"/>
      <c r="E246" s="143"/>
      <c r="F246" s="143"/>
      <c r="G246" s="143"/>
      <c r="H246" s="143"/>
      <c r="I246" s="143"/>
      <c r="J246" s="143"/>
      <c r="K246" s="144"/>
      <c r="L246" s="135"/>
      <c r="M246" s="136"/>
      <c r="N246" s="136"/>
      <c r="O246" s="136"/>
      <c r="P246" s="137"/>
      <c r="Q246" s="137"/>
      <c r="R246" s="138"/>
      <c r="S246" s="137"/>
      <c r="T246" s="137"/>
      <c r="U246" s="137"/>
      <c r="V246" s="137"/>
      <c r="W246" s="139"/>
      <c r="X246" s="139"/>
      <c r="Y246" s="139"/>
      <c r="Z246" s="139"/>
      <c r="AA246" s="139"/>
      <c r="AB246" s="139"/>
      <c r="AC246" s="140"/>
      <c r="AD246" s="140"/>
    </row>
    <row r="247" s="119" customFormat="1" ht="96" customHeight="1" outlineLevel="2" spans="1:30">
      <c r="A247" s="162">
        <f>1+N(A246)</f>
        <v>1</v>
      </c>
      <c r="B247" s="14" t="s">
        <v>460</v>
      </c>
      <c r="C247" s="167" t="s">
        <v>103</v>
      </c>
      <c r="D247" s="142" t="s">
        <v>63</v>
      </c>
      <c r="E247" s="143">
        <v>25.184</v>
      </c>
      <c r="F247" s="143">
        <f>$F$25</f>
        <v>70</v>
      </c>
      <c r="G247" s="143">
        <f>$G$25</f>
        <v>0</v>
      </c>
      <c r="H247" s="143">
        <f>$H$25</f>
        <v>66.711</v>
      </c>
      <c r="I247" s="17">
        <f>(F247+G247+H247)*$I$3</f>
        <v>13.6711</v>
      </c>
      <c r="J247" s="18">
        <f>ROUND(SUM(F247:I247),2)</f>
        <v>150.38</v>
      </c>
      <c r="K247" s="19">
        <f>ROUND(J247*E247,2)</f>
        <v>3787.17</v>
      </c>
      <c r="L247" s="135"/>
      <c r="M247" s="136"/>
      <c r="N247" s="136"/>
      <c r="O247" s="136"/>
      <c r="P247" s="37">
        <f>Q247+Q247*R247+S247+T247+U247</f>
        <v>136.711</v>
      </c>
      <c r="Q247" s="99">
        <f>$Q$25</f>
        <v>0</v>
      </c>
      <c r="R247" s="163">
        <f>$R$25</f>
        <v>0.01</v>
      </c>
      <c r="S247" s="99">
        <f>$S$25</f>
        <v>70</v>
      </c>
      <c r="T247" s="99">
        <f>$T$25</f>
        <v>64.711</v>
      </c>
      <c r="U247" s="99">
        <f>$U$25</f>
        <v>2</v>
      </c>
      <c r="V247" s="37">
        <f>P247*E247</f>
        <v>3442.929824</v>
      </c>
      <c r="W247" s="139"/>
      <c r="X247" s="139"/>
      <c r="Y247" s="139"/>
      <c r="Z247" s="139"/>
      <c r="AA247" s="139"/>
      <c r="AB247" s="139"/>
      <c r="AC247" s="140"/>
      <c r="AD247" s="140"/>
    </row>
    <row r="248" s="119" customFormat="1" ht="72" customHeight="1" outlineLevel="2" spans="1:30">
      <c r="A248" s="162">
        <f>1+N(A247)</f>
        <v>2</v>
      </c>
      <c r="B248" s="14" t="s">
        <v>104</v>
      </c>
      <c r="C248" s="167" t="s">
        <v>105</v>
      </c>
      <c r="D248" s="142" t="s">
        <v>70</v>
      </c>
      <c r="E248" s="143">
        <v>17.741</v>
      </c>
      <c r="F248" s="143">
        <f>$F$127</f>
        <v>50</v>
      </c>
      <c r="G248" s="143">
        <f>$G$127</f>
        <v>0</v>
      </c>
      <c r="H248" s="143">
        <f>$H$127</f>
        <v>22.0941</v>
      </c>
      <c r="I248" s="17">
        <f>(F248+G248+H248)*$I$3</f>
        <v>7.20941</v>
      </c>
      <c r="J248" s="18">
        <f>ROUND(SUM(F248:I248),2)</f>
        <v>79.3</v>
      </c>
      <c r="K248" s="19">
        <f>ROUND(J248*E248,2)</f>
        <v>1406.86</v>
      </c>
      <c r="L248" s="135"/>
      <c r="M248" s="136"/>
      <c r="N248" s="136"/>
      <c r="O248" s="136"/>
      <c r="P248" s="37">
        <f>Q248+Q248*R248+S248+T248+U248</f>
        <v>72.0941</v>
      </c>
      <c r="Q248" s="99">
        <f>$Q$127</f>
        <v>0</v>
      </c>
      <c r="R248" s="163">
        <f>$R$127</f>
        <v>0.01</v>
      </c>
      <c r="S248" s="99">
        <f>$S$127</f>
        <v>50</v>
      </c>
      <c r="T248" s="99">
        <f>$T$127</f>
        <v>22.0941</v>
      </c>
      <c r="U248" s="99">
        <f>$U$127</f>
        <v>0</v>
      </c>
      <c r="V248" s="37">
        <f>P248*E248</f>
        <v>1279.0214281</v>
      </c>
      <c r="W248" s="139"/>
      <c r="X248" s="139"/>
      <c r="Y248" s="139"/>
      <c r="Z248" s="139"/>
      <c r="AA248" s="139"/>
      <c r="AB248" s="139"/>
      <c r="AC248" s="140"/>
      <c r="AD248" s="140"/>
    </row>
    <row r="249" s="119" customFormat="1" ht="72" customHeight="1" outlineLevel="2" spans="1:30">
      <c r="A249" s="162">
        <f>1+N(A248)</f>
        <v>3</v>
      </c>
      <c r="B249" s="14" t="s">
        <v>106</v>
      </c>
      <c r="C249" s="15" t="s">
        <v>107</v>
      </c>
      <c r="D249" s="142" t="s">
        <v>70</v>
      </c>
      <c r="E249" s="143">
        <v>17.741</v>
      </c>
      <c r="F249" s="143">
        <f>$F$27</f>
        <v>18</v>
      </c>
      <c r="G249" s="143">
        <f>$G$27</f>
        <v>163.255</v>
      </c>
      <c r="H249" s="143">
        <f>$H$27</f>
        <v>3.8</v>
      </c>
      <c r="I249" s="17">
        <f>(F249+G249+H249)*$I$3</f>
        <v>18.5055</v>
      </c>
      <c r="J249" s="18">
        <f>ROUND(SUM(F249:I249),2)</f>
        <v>203.56</v>
      </c>
      <c r="K249" s="19">
        <f>ROUND(J249*E249,2)</f>
        <v>3611.36</v>
      </c>
      <c r="L249" s="135"/>
      <c r="M249" s="136"/>
      <c r="N249" s="136"/>
      <c r="O249" s="136"/>
      <c r="P249" s="37">
        <f>Q249+Q249*R249+S249+T249+U249</f>
        <v>185.055</v>
      </c>
      <c r="Q249" s="99">
        <f>$Q$27</f>
        <v>158.5</v>
      </c>
      <c r="R249" s="163">
        <f>$R$27</f>
        <v>0.03</v>
      </c>
      <c r="S249" s="99">
        <f>$S$27</f>
        <v>18</v>
      </c>
      <c r="T249" s="99">
        <f>$T$27</f>
        <v>3.5</v>
      </c>
      <c r="U249" s="99">
        <f>$U$27</f>
        <v>0.3</v>
      </c>
      <c r="V249" s="37">
        <f>P249*E249</f>
        <v>3283.060755</v>
      </c>
      <c r="W249" s="139"/>
      <c r="X249" s="139"/>
      <c r="Y249" s="139"/>
      <c r="Z249" s="139"/>
      <c r="AA249" s="139"/>
      <c r="AB249" s="139"/>
      <c r="AC249" s="140"/>
      <c r="AD249" s="140"/>
    </row>
    <row r="250" s="119" customFormat="1" ht="72" customHeight="1" outlineLevel="2" spans="1:30">
      <c r="A250" s="162">
        <f>1+N(A249)</f>
        <v>4</v>
      </c>
      <c r="B250" s="14" t="s">
        <v>108</v>
      </c>
      <c r="C250" s="15" t="s">
        <v>109</v>
      </c>
      <c r="D250" s="142" t="s">
        <v>70</v>
      </c>
      <c r="E250" s="143">
        <f>6*2</f>
        <v>12</v>
      </c>
      <c r="F250" s="143">
        <f>$F$28</f>
        <v>30</v>
      </c>
      <c r="G250" s="143">
        <f>$G$28</f>
        <v>65.6625</v>
      </c>
      <c r="H250" s="143">
        <f>$H$28</f>
        <v>2.7</v>
      </c>
      <c r="I250" s="17">
        <f>(F250+G250+H250)*$I$3</f>
        <v>9.83625</v>
      </c>
      <c r="J250" s="18">
        <f>ROUND(SUM(F250:I250),2)</f>
        <v>108.2</v>
      </c>
      <c r="K250" s="19">
        <f>ROUND(J250*E250,2)</f>
        <v>1298.4</v>
      </c>
      <c r="L250" s="135"/>
      <c r="M250" s="136"/>
      <c r="N250" s="136"/>
      <c r="O250" s="136"/>
      <c r="P250" s="37">
        <f>Q250+Q250*R250+S250+T250+U250</f>
        <v>98.3625</v>
      </c>
      <c r="Q250" s="99">
        <f>$Q$28</f>
        <v>63.75</v>
      </c>
      <c r="R250" s="163">
        <f>$R$28</f>
        <v>0.03</v>
      </c>
      <c r="S250" s="99">
        <f>$S$28</f>
        <v>30</v>
      </c>
      <c r="T250" s="99">
        <f>$T$28</f>
        <v>2.5</v>
      </c>
      <c r="U250" s="99">
        <f>$U$28</f>
        <v>0.2</v>
      </c>
      <c r="V250" s="37">
        <f>P250*E250</f>
        <v>1180.35</v>
      </c>
      <c r="W250" s="139"/>
      <c r="X250" s="139"/>
      <c r="Y250" s="139"/>
      <c r="Z250" s="139"/>
      <c r="AA250" s="139"/>
      <c r="AB250" s="139"/>
      <c r="AC250" s="140"/>
      <c r="AD250" s="140"/>
    </row>
    <row r="251" s="119" customFormat="1" ht="72" customHeight="1" outlineLevel="2" spans="1:30">
      <c r="A251" s="162">
        <f>1+N(A250)</f>
        <v>5</v>
      </c>
      <c r="B251" s="14" t="s">
        <v>110</v>
      </c>
      <c r="C251" s="15" t="s">
        <v>111</v>
      </c>
      <c r="D251" s="142" t="s">
        <v>63</v>
      </c>
      <c r="E251" s="143">
        <v>31.294</v>
      </c>
      <c r="F251" s="143">
        <f>$F$29</f>
        <v>45</v>
      </c>
      <c r="G251" s="143">
        <f>$G$29</f>
        <v>85.5</v>
      </c>
      <c r="H251" s="143">
        <f>$H$29</f>
        <v>7.3</v>
      </c>
      <c r="I251" s="17">
        <f>(F251+G251+H251)*$I$3</f>
        <v>13.78</v>
      </c>
      <c r="J251" s="18">
        <f>ROUND(SUM(F251:I251),2)</f>
        <v>151.58</v>
      </c>
      <c r="K251" s="19">
        <f>ROUND(J251*E251,2)</f>
        <v>4743.54</v>
      </c>
      <c r="L251" s="135"/>
      <c r="M251" s="136"/>
      <c r="N251" s="136"/>
      <c r="O251" s="136"/>
      <c r="P251" s="37">
        <f>Q251+Q251*R251+S251+T251+U251</f>
        <v>137.8</v>
      </c>
      <c r="Q251" s="99">
        <f>$Q$29</f>
        <v>85.5</v>
      </c>
      <c r="R251" s="163">
        <f>$R$29</f>
        <v>0</v>
      </c>
      <c r="S251" s="99">
        <f>$S$29</f>
        <v>45</v>
      </c>
      <c r="T251" s="99">
        <f>$T$29</f>
        <v>6.5</v>
      </c>
      <c r="U251" s="99">
        <f>$U$29</f>
        <v>0.8</v>
      </c>
      <c r="V251" s="37">
        <f>P251*E251</f>
        <v>4312.3132</v>
      </c>
      <c r="W251" s="139"/>
      <c r="X251" s="139"/>
      <c r="Y251" s="139"/>
      <c r="Z251" s="139"/>
      <c r="AA251" s="139"/>
      <c r="AB251" s="139"/>
      <c r="AC251" s="140"/>
      <c r="AD251" s="140"/>
    </row>
    <row r="252" s="119" customFormat="1" ht="24" customHeight="1" outlineLevel="1" spans="1:30">
      <c r="A252" s="141"/>
      <c r="B252" s="14" t="s">
        <v>112</v>
      </c>
      <c r="C252" s="15"/>
      <c r="D252" s="142"/>
      <c r="E252" s="143"/>
      <c r="F252" s="143"/>
      <c r="G252" s="143"/>
      <c r="H252" s="143"/>
      <c r="I252" s="143"/>
      <c r="J252" s="143"/>
      <c r="K252" s="144"/>
      <c r="L252" s="135"/>
      <c r="M252" s="136"/>
      <c r="N252" s="136"/>
      <c r="O252" s="136"/>
      <c r="P252" s="137"/>
      <c r="Q252" s="137"/>
      <c r="R252" s="138"/>
      <c r="S252" s="137"/>
      <c r="T252" s="137"/>
      <c r="U252" s="137"/>
      <c r="V252" s="137"/>
      <c r="W252" s="139"/>
      <c r="X252" s="139"/>
      <c r="Y252" s="139"/>
      <c r="Z252" s="139"/>
      <c r="AA252" s="139"/>
      <c r="AB252" s="139"/>
      <c r="AC252" s="140"/>
      <c r="AD252" s="140"/>
    </row>
    <row r="253" s="119" customFormat="1" ht="24" customHeight="1" outlineLevel="1" spans="1:30">
      <c r="A253" s="132" t="s">
        <v>127</v>
      </c>
      <c r="B253" s="8" t="s">
        <v>524</v>
      </c>
      <c r="C253" s="8"/>
      <c r="D253" s="133"/>
      <c r="E253" s="134"/>
      <c r="F253" s="134"/>
      <c r="G253" s="134"/>
      <c r="H253" s="134"/>
      <c r="I253" s="134"/>
      <c r="J253" s="134"/>
      <c r="K253" s="11"/>
      <c r="L253" s="135"/>
      <c r="M253" s="136"/>
      <c r="N253" s="136"/>
      <c r="O253" s="136"/>
      <c r="P253" s="137"/>
      <c r="Q253" s="137"/>
      <c r="R253" s="138"/>
      <c r="S253" s="137"/>
      <c r="T253" s="137"/>
      <c r="U253" s="137"/>
      <c r="V253" s="137"/>
      <c r="W253" s="139"/>
      <c r="X253" s="139"/>
      <c r="Y253" s="139"/>
      <c r="Z253" s="139"/>
      <c r="AA253" s="139"/>
      <c r="AB253" s="139"/>
      <c r="AC253" s="140"/>
      <c r="AD253" s="140"/>
    </row>
    <row r="254" s="119" customFormat="1" ht="24" customHeight="1" outlineLevel="1" spans="1:30">
      <c r="A254" s="141"/>
      <c r="B254" s="14" t="s">
        <v>60</v>
      </c>
      <c r="C254" s="15"/>
      <c r="D254" s="142"/>
      <c r="E254" s="143"/>
      <c r="F254" s="143"/>
      <c r="G254" s="143"/>
      <c r="H254" s="143"/>
      <c r="I254" s="143"/>
      <c r="J254" s="143"/>
      <c r="K254" s="144"/>
      <c r="L254" s="135"/>
      <c r="M254" s="136"/>
      <c r="N254" s="136"/>
      <c r="O254" s="136"/>
      <c r="P254" s="137"/>
      <c r="Q254" s="137"/>
      <c r="R254" s="138"/>
      <c r="S254" s="137"/>
      <c r="T254" s="137"/>
      <c r="U254" s="137"/>
      <c r="V254" s="137"/>
      <c r="W254" s="139"/>
      <c r="X254" s="139"/>
      <c r="Y254" s="139"/>
      <c r="Z254" s="139"/>
      <c r="AA254" s="139"/>
      <c r="AB254" s="139"/>
      <c r="AC254" s="140"/>
      <c r="AD254" s="140"/>
    </row>
    <row r="255" s="119" customFormat="1" ht="96" customHeight="1" outlineLevel="2" spans="1:30">
      <c r="A255" s="162">
        <f>1+N(A254)</f>
        <v>1</v>
      </c>
      <c r="B255" s="14" t="s">
        <v>61</v>
      </c>
      <c r="C255" s="15" t="s">
        <v>62</v>
      </c>
      <c r="D255" s="142" t="s">
        <v>63</v>
      </c>
      <c r="E255" s="143">
        <v>5.983</v>
      </c>
      <c r="F255" s="143">
        <f>$F$7</f>
        <v>130</v>
      </c>
      <c r="G255" s="143">
        <f>$G$7</f>
        <v>628.3</v>
      </c>
      <c r="H255" s="17">
        <f>$H$7</f>
        <v>47.7</v>
      </c>
      <c r="I255" s="17">
        <f>(F255+G255+H255)*$I$3</f>
        <v>80.6</v>
      </c>
      <c r="J255" s="18">
        <f>ROUND(SUM(F255:I255),2)</f>
        <v>886.6</v>
      </c>
      <c r="K255" s="19">
        <f>ROUND(J255*E255,2)</f>
        <v>5304.53</v>
      </c>
      <c r="L255" s="135"/>
      <c r="M255" s="136"/>
      <c r="N255" s="136"/>
      <c r="O255" s="136"/>
      <c r="P255" s="137">
        <f>Q255+Q255*R255+S255+T255+U255</f>
        <v>806</v>
      </c>
      <c r="Q255" s="99">
        <f>$Q$7</f>
        <v>610</v>
      </c>
      <c r="R255" s="163">
        <f>$R$7</f>
        <v>0.03</v>
      </c>
      <c r="S255" s="99">
        <f>$S$7</f>
        <v>130</v>
      </c>
      <c r="T255" s="99">
        <f>$T$7</f>
        <v>46.2</v>
      </c>
      <c r="U255" s="99">
        <f>$U$7</f>
        <v>1.5</v>
      </c>
      <c r="V255" s="37">
        <f>P255*E255</f>
        <v>4822.298</v>
      </c>
      <c r="W255" s="139"/>
      <c r="X255" s="139"/>
      <c r="Y255" s="139"/>
      <c r="Z255" s="139"/>
      <c r="AA255" s="139"/>
      <c r="AB255" s="139"/>
      <c r="AC255" s="140"/>
      <c r="AD255" s="140"/>
    </row>
    <row r="256" s="119" customFormat="1" ht="108" customHeight="1" outlineLevel="2" spans="1:30">
      <c r="A256" s="162">
        <f>1+N(A255)</f>
        <v>2</v>
      </c>
      <c r="B256" s="14" t="s">
        <v>64</v>
      </c>
      <c r="C256" s="15" t="s">
        <v>65</v>
      </c>
      <c r="D256" s="142" t="s">
        <v>63</v>
      </c>
      <c r="E256" s="143">
        <v>7.717</v>
      </c>
      <c r="F256" s="143">
        <f>$F$8</f>
        <v>130</v>
      </c>
      <c r="G256" s="143">
        <f>$G$8</f>
        <v>854.9</v>
      </c>
      <c r="H256" s="143">
        <f>$H$8</f>
        <v>47.7</v>
      </c>
      <c r="I256" s="17">
        <f>(F256+G256+H256)*$I$3</f>
        <v>103.26</v>
      </c>
      <c r="J256" s="18">
        <f>ROUND(SUM(F256:I256),2)</f>
        <v>1135.86</v>
      </c>
      <c r="K256" s="19">
        <f>ROUND(J256*E256,2)</f>
        <v>8765.43</v>
      </c>
      <c r="L256" s="135"/>
      <c r="M256" s="136"/>
      <c r="N256" s="136"/>
      <c r="O256" s="136"/>
      <c r="P256" s="137">
        <f>Q256+Q256*R256+S256+T256+U256</f>
        <v>1032.6</v>
      </c>
      <c r="Q256" s="99">
        <f>$Q$8</f>
        <v>830</v>
      </c>
      <c r="R256" s="163">
        <f>$R$8</f>
        <v>0.03</v>
      </c>
      <c r="S256" s="99">
        <f>$S$8</f>
        <v>130</v>
      </c>
      <c r="T256" s="99">
        <f>$T$8</f>
        <v>46.2</v>
      </c>
      <c r="U256" s="99">
        <f>$U$8</f>
        <v>1.5</v>
      </c>
      <c r="V256" s="37">
        <f>P256*E256</f>
        <v>7968.5742</v>
      </c>
      <c r="W256" s="139"/>
      <c r="X256" s="139"/>
      <c r="Y256" s="139"/>
      <c r="Z256" s="139"/>
      <c r="AA256" s="139"/>
      <c r="AB256" s="139"/>
      <c r="AC256" s="140"/>
      <c r="AD256" s="140"/>
    </row>
    <row r="257" s="119" customFormat="1" ht="36" customHeight="1" outlineLevel="2" spans="1:30">
      <c r="A257" s="162">
        <f>1+N(A256)</f>
        <v>3</v>
      </c>
      <c r="B257" s="14" t="s">
        <v>68</v>
      </c>
      <c r="C257" s="15" t="s">
        <v>69</v>
      </c>
      <c r="D257" s="142" t="s">
        <v>70</v>
      </c>
      <c r="E257" s="143">
        <v>10.468</v>
      </c>
      <c r="F257" s="143">
        <f>$F$9</f>
        <v>12</v>
      </c>
      <c r="G257" s="143">
        <f>$G$9</f>
        <v>19.57</v>
      </c>
      <c r="H257" s="143">
        <f>$H$9</f>
        <v>0.5</v>
      </c>
      <c r="I257" s="17">
        <f>(F257+G257+H257)*$I$3</f>
        <v>3.207</v>
      </c>
      <c r="J257" s="18">
        <f>ROUND(SUM(F257:I257),2)</f>
        <v>35.28</v>
      </c>
      <c r="K257" s="19">
        <f>ROUND(J257*E257,2)</f>
        <v>369.31</v>
      </c>
      <c r="L257" s="135"/>
      <c r="M257" s="136"/>
      <c r="N257" s="136"/>
      <c r="O257" s="136"/>
      <c r="P257" s="37">
        <f>Q257+Q257*R257+S257+T257+U257</f>
        <v>32.07</v>
      </c>
      <c r="Q257" s="99">
        <f>$Q$9</f>
        <v>19</v>
      </c>
      <c r="R257" s="163">
        <f>$R$9</f>
        <v>0.03</v>
      </c>
      <c r="S257" s="99">
        <f>$S$9</f>
        <v>12</v>
      </c>
      <c r="T257" s="99">
        <f>$T$9</f>
        <v>0.3</v>
      </c>
      <c r="U257" s="99">
        <f>$U$9</f>
        <v>0.2</v>
      </c>
      <c r="V257" s="37">
        <f>P257*E257</f>
        <v>335.70876</v>
      </c>
      <c r="W257" s="139"/>
      <c r="X257" s="139"/>
      <c r="Y257" s="139"/>
      <c r="Z257" s="139"/>
      <c r="AA257" s="139"/>
      <c r="AB257" s="139"/>
      <c r="AC257" s="140"/>
      <c r="AD257" s="140"/>
    </row>
    <row r="258" s="119" customFormat="1" ht="48" customHeight="1" outlineLevel="2" spans="1:30">
      <c r="A258" s="162">
        <f>1+N(A257)</f>
        <v>4</v>
      </c>
      <c r="B258" s="14" t="s">
        <v>71</v>
      </c>
      <c r="C258" s="15" t="s">
        <v>72</v>
      </c>
      <c r="D258" s="142" t="s">
        <v>63</v>
      </c>
      <c r="E258" s="143">
        <f>+E255+E256</f>
        <v>13.7</v>
      </c>
      <c r="F258" s="143">
        <f>$F$10</f>
        <v>40</v>
      </c>
      <c r="G258" s="143">
        <f>$G$10</f>
        <v>15</v>
      </c>
      <c r="H258" s="143">
        <f>$H$10</f>
        <v>0.8</v>
      </c>
      <c r="I258" s="17">
        <f>(F258+G258+H258)*$I$3</f>
        <v>5.58</v>
      </c>
      <c r="J258" s="18">
        <f>ROUND(SUM(F258:I258),2)</f>
        <v>61.38</v>
      </c>
      <c r="K258" s="19">
        <f>ROUND(J258*E258,2)</f>
        <v>840.91</v>
      </c>
      <c r="L258" s="135"/>
      <c r="M258" s="136"/>
      <c r="N258" s="136"/>
      <c r="O258" s="136"/>
      <c r="P258" s="37">
        <f>Q258+Q258*R258+S258+T258+U258</f>
        <v>55.8</v>
      </c>
      <c r="Q258" s="99">
        <f>$Q$10</f>
        <v>15</v>
      </c>
      <c r="R258" s="163">
        <f>$R$10</f>
        <v>0</v>
      </c>
      <c r="S258" s="99">
        <f>$S$10</f>
        <v>40</v>
      </c>
      <c r="T258" s="99">
        <f>$T$10</f>
        <v>0.5</v>
      </c>
      <c r="U258" s="99">
        <f>$U$10</f>
        <v>0.3</v>
      </c>
      <c r="V258" s="37">
        <f>P258*E258</f>
        <v>764.46</v>
      </c>
      <c r="W258" s="139"/>
      <c r="X258" s="139"/>
      <c r="Y258" s="139"/>
      <c r="Z258" s="139"/>
      <c r="AA258" s="139"/>
      <c r="AB258" s="139"/>
      <c r="AC258" s="140"/>
      <c r="AD258" s="140"/>
    </row>
    <row r="259" s="119" customFormat="1" ht="24" customHeight="1" outlineLevel="1" spans="1:30">
      <c r="A259" s="141"/>
      <c r="B259" s="14" t="s">
        <v>494</v>
      </c>
      <c r="C259" s="15"/>
      <c r="D259" s="142"/>
      <c r="E259" s="143"/>
      <c r="F259" s="143"/>
      <c r="G259" s="143"/>
      <c r="H259" s="143"/>
      <c r="I259" s="143"/>
      <c r="J259" s="143"/>
      <c r="K259" s="144"/>
      <c r="L259" s="135"/>
      <c r="M259" s="136"/>
      <c r="N259" s="136"/>
      <c r="O259" s="136"/>
      <c r="P259" s="137"/>
      <c r="Q259" s="137"/>
      <c r="R259" s="138"/>
      <c r="S259" s="137"/>
      <c r="T259" s="137"/>
      <c r="U259" s="137"/>
      <c r="V259" s="137"/>
      <c r="W259" s="139"/>
      <c r="X259" s="139"/>
      <c r="Y259" s="139"/>
      <c r="Z259" s="139"/>
      <c r="AA259" s="139"/>
      <c r="AB259" s="139"/>
      <c r="AC259" s="140"/>
      <c r="AD259" s="140"/>
    </row>
    <row r="260" s="119" customFormat="1" ht="72" customHeight="1" outlineLevel="2" spans="1:30">
      <c r="A260" s="162">
        <f t="shared" ref="A260:A271" si="63">1+N(A259)</f>
        <v>1</v>
      </c>
      <c r="B260" s="164" t="s">
        <v>74</v>
      </c>
      <c r="C260" s="15" t="s">
        <v>75</v>
      </c>
      <c r="D260" s="142" t="s">
        <v>63</v>
      </c>
      <c r="E260" s="143">
        <v>3.166</v>
      </c>
      <c r="F260" s="143">
        <f>$F$12</f>
        <v>95</v>
      </c>
      <c r="G260" s="143">
        <f>$G$12</f>
        <v>813.75</v>
      </c>
      <c r="H260" s="143">
        <f>$H$12</f>
        <v>18.3</v>
      </c>
      <c r="I260" s="17">
        <f t="shared" ref="I260:I271" si="64">(F260+G260+H260)*$I$3</f>
        <v>92.705</v>
      </c>
      <c r="J260" s="18">
        <f t="shared" ref="J260:J271" si="65">ROUND(SUM(F260:I260),2)</f>
        <v>1019.76</v>
      </c>
      <c r="K260" s="19">
        <f t="shared" ref="K260:K271" si="66">ROUND(J260*E260,2)</f>
        <v>3228.56</v>
      </c>
      <c r="L260" s="135"/>
      <c r="M260" s="136"/>
      <c r="N260" s="136"/>
      <c r="O260" s="136"/>
      <c r="P260" s="37">
        <f t="shared" ref="P260:P271" si="67">Q260+Q260*R260+S260+T260+U260</f>
        <v>927.05</v>
      </c>
      <c r="Q260" s="99">
        <f>$Q$12</f>
        <v>775</v>
      </c>
      <c r="R260" s="163">
        <f>$R$12</f>
        <v>0.05</v>
      </c>
      <c r="S260" s="99">
        <f>$S$12</f>
        <v>95</v>
      </c>
      <c r="T260" s="99">
        <f>$T$12</f>
        <v>16.8</v>
      </c>
      <c r="U260" s="99">
        <f>$U$12</f>
        <v>1.5</v>
      </c>
      <c r="V260" s="37">
        <f t="shared" ref="V260:V271" si="68">P260*E260</f>
        <v>2935.0403</v>
      </c>
      <c r="W260" s="139"/>
      <c r="X260" s="139"/>
      <c r="Y260" s="139"/>
      <c r="Z260" s="139"/>
      <c r="AA260" s="139"/>
      <c r="AB260" s="139"/>
      <c r="AC260" s="140"/>
      <c r="AD260" s="140"/>
    </row>
    <row r="261" s="119" customFormat="1" ht="96" customHeight="1" outlineLevel="2" spans="1:30">
      <c r="A261" s="162">
        <f t="shared" si="63"/>
        <v>2</v>
      </c>
      <c r="B261" s="165" t="s">
        <v>76</v>
      </c>
      <c r="C261" s="166" t="s">
        <v>77</v>
      </c>
      <c r="D261" s="142" t="s">
        <v>63</v>
      </c>
      <c r="E261" s="143">
        <v>15.114</v>
      </c>
      <c r="F261" s="143">
        <f>$F$13</f>
        <v>145</v>
      </c>
      <c r="G261" s="143">
        <f>$G$13</f>
        <v>651</v>
      </c>
      <c r="H261" s="143">
        <f>$H$13</f>
        <v>113.55</v>
      </c>
      <c r="I261" s="17">
        <f t="shared" si="64"/>
        <v>90.955</v>
      </c>
      <c r="J261" s="18">
        <f t="shared" si="65"/>
        <v>1000.51</v>
      </c>
      <c r="K261" s="19">
        <f t="shared" si="66"/>
        <v>15121.71</v>
      </c>
      <c r="L261" s="135"/>
      <c r="M261" s="136"/>
      <c r="N261" s="136"/>
      <c r="O261" s="136"/>
      <c r="P261" s="37">
        <f t="shared" si="67"/>
        <v>909.55</v>
      </c>
      <c r="Q261" s="99">
        <f>$Q$13</f>
        <v>620</v>
      </c>
      <c r="R261" s="163">
        <f>$R$13</f>
        <v>0.05</v>
      </c>
      <c r="S261" s="99">
        <f>$S$13</f>
        <v>145</v>
      </c>
      <c r="T261" s="99">
        <f>$T$13</f>
        <v>111.75</v>
      </c>
      <c r="U261" s="99">
        <f>$U$13</f>
        <v>1.8</v>
      </c>
      <c r="V261" s="37">
        <f t="shared" si="68"/>
        <v>13746.9387</v>
      </c>
      <c r="W261" s="139"/>
      <c r="X261" s="139"/>
      <c r="Y261" s="139"/>
      <c r="Z261" s="139"/>
      <c r="AA261" s="139"/>
      <c r="AB261" s="139"/>
      <c r="AC261" s="140"/>
      <c r="AD261" s="140"/>
    </row>
    <row r="262" s="119" customFormat="1" ht="60" customHeight="1" outlineLevel="2" spans="1:30">
      <c r="A262" s="162">
        <f t="shared" si="63"/>
        <v>3</v>
      </c>
      <c r="B262" s="14" t="s">
        <v>226</v>
      </c>
      <c r="C262" s="15" t="s">
        <v>225</v>
      </c>
      <c r="D262" s="142" t="s">
        <v>63</v>
      </c>
      <c r="E262" s="143">
        <v>4.929</v>
      </c>
      <c r="F262" s="143">
        <f>$F$14</f>
        <v>35</v>
      </c>
      <c r="G262" s="143">
        <f>$G$14</f>
        <v>346.08</v>
      </c>
      <c r="H262" s="143">
        <f>$H$14</f>
        <v>54.7</v>
      </c>
      <c r="I262" s="17">
        <f t="shared" si="64"/>
        <v>43.578</v>
      </c>
      <c r="J262" s="18">
        <f t="shared" si="65"/>
        <v>479.36</v>
      </c>
      <c r="K262" s="19">
        <f t="shared" si="66"/>
        <v>2362.77</v>
      </c>
      <c r="L262" s="135"/>
      <c r="M262" s="136"/>
      <c r="N262" s="136"/>
      <c r="O262" s="136"/>
      <c r="P262" s="37">
        <f t="shared" si="67"/>
        <v>435.78</v>
      </c>
      <c r="Q262" s="99">
        <f>$Q$14</f>
        <v>336</v>
      </c>
      <c r="R262" s="163">
        <f>$R$14</f>
        <v>0.03</v>
      </c>
      <c r="S262" s="99">
        <f>$S$14</f>
        <v>35</v>
      </c>
      <c r="T262" s="99">
        <f>$T$14</f>
        <v>53.5</v>
      </c>
      <c r="U262" s="99">
        <f>$U$14</f>
        <v>1.2</v>
      </c>
      <c r="V262" s="37">
        <f t="shared" si="68"/>
        <v>2147.95962</v>
      </c>
      <c r="W262" s="139"/>
      <c r="X262" s="139"/>
      <c r="Y262" s="139"/>
      <c r="Z262" s="139"/>
      <c r="AA262" s="139"/>
      <c r="AB262" s="139"/>
      <c r="AC262" s="140"/>
      <c r="AD262" s="140"/>
    </row>
    <row r="263" s="119" customFormat="1" ht="72" customHeight="1" outlineLevel="2" spans="1:30">
      <c r="A263" s="162">
        <f t="shared" si="63"/>
        <v>4</v>
      </c>
      <c r="B263" s="165" t="s">
        <v>228</v>
      </c>
      <c r="C263" s="15" t="s">
        <v>229</v>
      </c>
      <c r="D263" s="142" t="s">
        <v>63</v>
      </c>
      <c r="E263" s="143">
        <v>29.297</v>
      </c>
      <c r="F263" s="143">
        <f>$F$15</f>
        <v>110</v>
      </c>
      <c r="G263" s="143">
        <f>$G$15</f>
        <v>86.355</v>
      </c>
      <c r="H263" s="143">
        <f>$H$15</f>
        <v>56.797</v>
      </c>
      <c r="I263" s="17">
        <f t="shared" si="64"/>
        <v>25.3152</v>
      </c>
      <c r="J263" s="18">
        <f t="shared" si="65"/>
        <v>278.47</v>
      </c>
      <c r="K263" s="19">
        <f t="shared" si="66"/>
        <v>8158.34</v>
      </c>
      <c r="L263" s="135"/>
      <c r="M263" s="136"/>
      <c r="N263" s="136"/>
      <c r="O263" s="136"/>
      <c r="P263" s="37">
        <f t="shared" si="67"/>
        <v>253.152</v>
      </c>
      <c r="Q263" s="99">
        <f>$Q$15</f>
        <v>85.5</v>
      </c>
      <c r="R263" s="163">
        <f>$R$15</f>
        <v>0.01</v>
      </c>
      <c r="S263" s="99">
        <f>$S$15</f>
        <v>110</v>
      </c>
      <c r="T263" s="99">
        <f>$T$15</f>
        <v>55.997</v>
      </c>
      <c r="U263" s="99">
        <f>$U$15</f>
        <v>0.8</v>
      </c>
      <c r="V263" s="37">
        <f t="shared" si="68"/>
        <v>7416.594144</v>
      </c>
      <c r="W263" s="139"/>
      <c r="X263" s="139"/>
      <c r="Y263" s="139"/>
      <c r="Z263" s="139"/>
      <c r="AA263" s="139"/>
      <c r="AB263" s="139"/>
      <c r="AC263" s="140"/>
      <c r="AD263" s="140"/>
    </row>
    <row r="264" s="119" customFormat="1" ht="48" customHeight="1" outlineLevel="2" spans="1:30">
      <c r="A264" s="162">
        <f t="shared" si="63"/>
        <v>5</v>
      </c>
      <c r="B264" s="165" t="s">
        <v>82</v>
      </c>
      <c r="C264" s="166" t="s">
        <v>83</v>
      </c>
      <c r="D264" s="165" t="s">
        <v>63</v>
      </c>
      <c r="E264" s="143">
        <v>11.045</v>
      </c>
      <c r="F264" s="143">
        <f>$F$16</f>
        <v>110</v>
      </c>
      <c r="G264" s="143">
        <f>$G$16</f>
        <v>454.5</v>
      </c>
      <c r="H264" s="143">
        <f>$H$16</f>
        <v>55.2</v>
      </c>
      <c r="I264" s="17">
        <f t="shared" si="64"/>
        <v>61.97</v>
      </c>
      <c r="J264" s="18">
        <f t="shared" si="65"/>
        <v>681.67</v>
      </c>
      <c r="K264" s="19">
        <f t="shared" si="66"/>
        <v>7529.05</v>
      </c>
      <c r="L264" s="135"/>
      <c r="M264" s="136"/>
      <c r="N264" s="136"/>
      <c r="O264" s="136"/>
      <c r="P264" s="37">
        <f t="shared" si="67"/>
        <v>619.7</v>
      </c>
      <c r="Q264" s="99">
        <f>$Q$16</f>
        <v>450</v>
      </c>
      <c r="R264" s="163">
        <f>$R$16</f>
        <v>0.01</v>
      </c>
      <c r="S264" s="99">
        <f>$S$16</f>
        <v>110</v>
      </c>
      <c r="T264" s="99">
        <f>$T$16</f>
        <v>54</v>
      </c>
      <c r="U264" s="99">
        <f>$U$16</f>
        <v>1.2</v>
      </c>
      <c r="V264" s="37">
        <f t="shared" si="68"/>
        <v>6844.5865</v>
      </c>
      <c r="W264" s="139"/>
      <c r="X264" s="139"/>
      <c r="Y264" s="139"/>
      <c r="Z264" s="139"/>
      <c r="AA264" s="139"/>
      <c r="AB264" s="139"/>
      <c r="AC264" s="140"/>
      <c r="AD264" s="140"/>
    </row>
    <row r="265" s="119" customFormat="1" ht="48" customHeight="1" outlineLevel="2" spans="1:30">
      <c r="A265" s="162">
        <f t="shared" si="63"/>
        <v>6</v>
      </c>
      <c r="B265" s="165" t="s">
        <v>84</v>
      </c>
      <c r="C265" s="166" t="s">
        <v>83</v>
      </c>
      <c r="D265" s="165" t="s">
        <v>63</v>
      </c>
      <c r="E265" s="143">
        <f>0.34*2.5*2*2</f>
        <v>3.4</v>
      </c>
      <c r="F265" s="143">
        <f>$F$17</f>
        <v>110</v>
      </c>
      <c r="G265" s="143">
        <f>$G$17</f>
        <v>454.5</v>
      </c>
      <c r="H265" s="143">
        <f>$H$17</f>
        <v>55.2</v>
      </c>
      <c r="I265" s="17">
        <f t="shared" si="64"/>
        <v>61.97</v>
      </c>
      <c r="J265" s="18">
        <f t="shared" si="65"/>
        <v>681.67</v>
      </c>
      <c r="K265" s="19">
        <f t="shared" si="66"/>
        <v>2317.68</v>
      </c>
      <c r="L265" s="135"/>
      <c r="M265" s="136"/>
      <c r="N265" s="136"/>
      <c r="O265" s="136"/>
      <c r="P265" s="37">
        <f t="shared" si="67"/>
        <v>619.7</v>
      </c>
      <c r="Q265" s="99">
        <f>$Q$17</f>
        <v>450</v>
      </c>
      <c r="R265" s="163">
        <f>$R$17</f>
        <v>0.01</v>
      </c>
      <c r="S265" s="99">
        <f>$S$17</f>
        <v>110</v>
      </c>
      <c r="T265" s="99">
        <f>$T$17</f>
        <v>54</v>
      </c>
      <c r="U265" s="99">
        <f>$U$17</f>
        <v>1.2</v>
      </c>
      <c r="V265" s="37">
        <f t="shared" si="68"/>
        <v>2106.98</v>
      </c>
      <c r="W265" s="139"/>
      <c r="X265" s="139"/>
      <c r="Y265" s="139"/>
      <c r="Z265" s="139"/>
      <c r="AA265" s="139"/>
      <c r="AB265" s="139"/>
      <c r="AC265" s="140"/>
      <c r="AD265" s="140"/>
    </row>
    <row r="266" s="119" customFormat="1" ht="60" customHeight="1" outlineLevel="2" spans="1:30">
      <c r="A266" s="162">
        <f t="shared" si="63"/>
        <v>7</v>
      </c>
      <c r="B266" s="165" t="s">
        <v>85</v>
      </c>
      <c r="C266" s="166" t="s">
        <v>86</v>
      </c>
      <c r="D266" s="165" t="s">
        <v>63</v>
      </c>
      <c r="E266" s="143">
        <f>+(0.061+0.22+0.114+0.074)*0.95*2</f>
        <v>0.8911</v>
      </c>
      <c r="F266" s="143">
        <f>$F$18</f>
        <v>110</v>
      </c>
      <c r="G266" s="143">
        <f>$G$18</f>
        <v>454.5</v>
      </c>
      <c r="H266" s="143">
        <f>$H$18</f>
        <v>55.2</v>
      </c>
      <c r="I266" s="17">
        <f t="shared" si="64"/>
        <v>61.97</v>
      </c>
      <c r="J266" s="18">
        <f t="shared" si="65"/>
        <v>681.67</v>
      </c>
      <c r="K266" s="19">
        <f t="shared" si="66"/>
        <v>607.44</v>
      </c>
      <c r="L266" s="135"/>
      <c r="M266" s="136"/>
      <c r="N266" s="136"/>
      <c r="O266" s="136"/>
      <c r="P266" s="37">
        <f t="shared" si="67"/>
        <v>619.7</v>
      </c>
      <c r="Q266" s="99">
        <f>$Q$18</f>
        <v>450</v>
      </c>
      <c r="R266" s="163">
        <f>$R$18</f>
        <v>0.01</v>
      </c>
      <c r="S266" s="99">
        <f>$S$18</f>
        <v>110</v>
      </c>
      <c r="T266" s="99">
        <f>$T$18</f>
        <v>54</v>
      </c>
      <c r="U266" s="99">
        <f>$U$18</f>
        <v>1.2</v>
      </c>
      <c r="V266" s="37">
        <f t="shared" si="68"/>
        <v>552.21467</v>
      </c>
      <c r="W266" s="139"/>
      <c r="X266" s="139"/>
      <c r="Y266" s="139"/>
      <c r="Z266" s="139"/>
      <c r="AA266" s="139"/>
      <c r="AB266" s="139"/>
      <c r="AC266" s="140"/>
      <c r="AD266" s="140"/>
    </row>
    <row r="267" s="119" customFormat="1" ht="48" customHeight="1" outlineLevel="2" spans="1:30">
      <c r="A267" s="162">
        <f t="shared" si="63"/>
        <v>8</v>
      </c>
      <c r="B267" s="165" t="s">
        <v>87</v>
      </c>
      <c r="C267" s="166" t="s">
        <v>88</v>
      </c>
      <c r="D267" s="165" t="s">
        <v>63</v>
      </c>
      <c r="E267" s="143">
        <v>0.253</v>
      </c>
      <c r="F267" s="143">
        <f>$F$19</f>
        <v>110</v>
      </c>
      <c r="G267" s="143">
        <f>$G$19</f>
        <v>454.5</v>
      </c>
      <c r="H267" s="143">
        <f>$H$19</f>
        <v>55.2</v>
      </c>
      <c r="I267" s="17">
        <f t="shared" si="64"/>
        <v>61.97</v>
      </c>
      <c r="J267" s="18">
        <f t="shared" si="65"/>
        <v>681.67</v>
      </c>
      <c r="K267" s="19">
        <f t="shared" si="66"/>
        <v>172.46</v>
      </c>
      <c r="L267" s="135"/>
      <c r="M267" s="136"/>
      <c r="N267" s="136"/>
      <c r="O267" s="136"/>
      <c r="P267" s="37">
        <f t="shared" si="67"/>
        <v>619.7</v>
      </c>
      <c r="Q267" s="99">
        <f>$Q$19</f>
        <v>450</v>
      </c>
      <c r="R267" s="163">
        <f>$R$19</f>
        <v>0.01</v>
      </c>
      <c r="S267" s="99">
        <f>$S$19</f>
        <v>110</v>
      </c>
      <c r="T267" s="99">
        <f>$T$19</f>
        <v>54</v>
      </c>
      <c r="U267" s="99">
        <f>$U$19</f>
        <v>1.2</v>
      </c>
      <c r="V267" s="37">
        <f t="shared" si="68"/>
        <v>156.7841</v>
      </c>
      <c r="W267" s="139"/>
      <c r="X267" s="139"/>
      <c r="Y267" s="139"/>
      <c r="Z267" s="139"/>
      <c r="AA267" s="139"/>
      <c r="AB267" s="139"/>
      <c r="AC267" s="140"/>
      <c r="AD267" s="140"/>
    </row>
    <row r="268" s="119" customFormat="1" ht="48" customHeight="1" outlineLevel="2" spans="1:30">
      <c r="A268" s="162">
        <f t="shared" si="63"/>
        <v>9</v>
      </c>
      <c r="B268" s="165" t="s">
        <v>91</v>
      </c>
      <c r="C268" s="166" t="s">
        <v>92</v>
      </c>
      <c r="D268" s="165" t="s">
        <v>70</v>
      </c>
      <c r="E268" s="143">
        <v>13.6</v>
      </c>
      <c r="F268" s="143">
        <f>$F$20</f>
        <v>12</v>
      </c>
      <c r="G268" s="143">
        <f>$G$20</f>
        <v>25.75</v>
      </c>
      <c r="H268" s="143">
        <f>$H$20</f>
        <v>3.8</v>
      </c>
      <c r="I268" s="17">
        <f t="shared" si="64"/>
        <v>4.155</v>
      </c>
      <c r="J268" s="18">
        <f t="shared" si="65"/>
        <v>45.71</v>
      </c>
      <c r="K268" s="19">
        <f t="shared" si="66"/>
        <v>621.66</v>
      </c>
      <c r="L268" s="135"/>
      <c r="M268" s="136"/>
      <c r="N268" s="136"/>
      <c r="O268" s="136"/>
      <c r="P268" s="37">
        <f t="shared" si="67"/>
        <v>41.55</v>
      </c>
      <c r="Q268" s="99">
        <f>$Q$20</f>
        <v>25</v>
      </c>
      <c r="R268" s="163">
        <f>$R$20</f>
        <v>0.03</v>
      </c>
      <c r="S268" s="99">
        <f>$S$20</f>
        <v>12</v>
      </c>
      <c r="T268" s="99">
        <f>$T$20</f>
        <v>3.5</v>
      </c>
      <c r="U268" s="99">
        <f>$U$20</f>
        <v>0.3</v>
      </c>
      <c r="V268" s="37">
        <f t="shared" si="68"/>
        <v>565.08</v>
      </c>
      <c r="W268" s="139"/>
      <c r="X268" s="139"/>
      <c r="Y268" s="139"/>
      <c r="Z268" s="139"/>
      <c r="AA268" s="139"/>
      <c r="AB268" s="139"/>
      <c r="AC268" s="140"/>
      <c r="AD268" s="140"/>
    </row>
    <row r="269" s="119" customFormat="1" ht="36" customHeight="1" outlineLevel="2" spans="1:30">
      <c r="A269" s="162">
        <f t="shared" si="63"/>
        <v>10</v>
      </c>
      <c r="B269" s="165" t="s">
        <v>519</v>
      </c>
      <c r="C269" s="166" t="s">
        <v>520</v>
      </c>
      <c r="D269" s="165" t="s">
        <v>70</v>
      </c>
      <c r="E269" s="143">
        <v>4.251</v>
      </c>
      <c r="F269" s="143">
        <f>$F$21</f>
        <v>12</v>
      </c>
      <c r="G269" s="143">
        <f>$G$21</f>
        <v>30.385</v>
      </c>
      <c r="H269" s="143">
        <f>$H$21</f>
        <v>3.8</v>
      </c>
      <c r="I269" s="17">
        <f t="shared" si="64"/>
        <v>4.6185</v>
      </c>
      <c r="J269" s="18">
        <f t="shared" si="65"/>
        <v>50.8</v>
      </c>
      <c r="K269" s="19">
        <f t="shared" si="66"/>
        <v>215.95</v>
      </c>
      <c r="L269" s="135"/>
      <c r="M269" s="136"/>
      <c r="N269" s="136"/>
      <c r="O269" s="136"/>
      <c r="P269" s="37">
        <f t="shared" si="67"/>
        <v>46.185</v>
      </c>
      <c r="Q269" s="99">
        <f>$Q$21</f>
        <v>29.5</v>
      </c>
      <c r="R269" s="163">
        <f>$R$21</f>
        <v>0.03</v>
      </c>
      <c r="S269" s="99">
        <f>$S$21</f>
        <v>12</v>
      </c>
      <c r="T269" s="99">
        <f>$T$21</f>
        <v>3.5</v>
      </c>
      <c r="U269" s="99">
        <f>$U$21</f>
        <v>0.3</v>
      </c>
      <c r="V269" s="37">
        <f t="shared" si="68"/>
        <v>196.332435</v>
      </c>
      <c r="W269" s="139"/>
      <c r="X269" s="139"/>
      <c r="Y269" s="139"/>
      <c r="Z269" s="139"/>
      <c r="AA269" s="139"/>
      <c r="AB269" s="139"/>
      <c r="AC269" s="140"/>
      <c r="AD269" s="140"/>
    </row>
    <row r="270" s="119" customFormat="1" ht="48" customHeight="1" outlineLevel="2" spans="1:30">
      <c r="A270" s="162">
        <f t="shared" si="63"/>
        <v>11</v>
      </c>
      <c r="B270" s="165" t="s">
        <v>97</v>
      </c>
      <c r="C270" s="166" t="s">
        <v>98</v>
      </c>
      <c r="D270" s="165" t="s">
        <v>70</v>
      </c>
      <c r="E270" s="143">
        <v>5.602</v>
      </c>
      <c r="F270" s="143">
        <f>$F$22</f>
        <v>22</v>
      </c>
      <c r="G270" s="143">
        <f>$G$22</f>
        <v>58.195</v>
      </c>
      <c r="H270" s="143">
        <f>$H$22</f>
        <v>6.3</v>
      </c>
      <c r="I270" s="17">
        <f t="shared" si="64"/>
        <v>8.6495</v>
      </c>
      <c r="J270" s="18">
        <f t="shared" si="65"/>
        <v>95.14</v>
      </c>
      <c r="K270" s="19">
        <f t="shared" si="66"/>
        <v>532.97</v>
      </c>
      <c r="L270" s="135"/>
      <c r="M270" s="136"/>
      <c r="N270" s="136"/>
      <c r="O270" s="136"/>
      <c r="P270" s="37">
        <f t="shared" si="67"/>
        <v>86.495</v>
      </c>
      <c r="Q270" s="99">
        <f>$Q$22</f>
        <v>56.5</v>
      </c>
      <c r="R270" s="163">
        <f>$R$22</f>
        <v>0.03</v>
      </c>
      <c r="S270" s="99">
        <f>$S$22</f>
        <v>22</v>
      </c>
      <c r="T270" s="99">
        <f>$T$22</f>
        <v>6</v>
      </c>
      <c r="U270" s="99">
        <f>$U$22</f>
        <v>0.3</v>
      </c>
      <c r="V270" s="37">
        <f t="shared" si="68"/>
        <v>484.54499</v>
      </c>
      <c r="W270" s="139"/>
      <c r="X270" s="139"/>
      <c r="Y270" s="139"/>
      <c r="Z270" s="139"/>
      <c r="AA270" s="139"/>
      <c r="AB270" s="139"/>
      <c r="AC270" s="140"/>
      <c r="AD270" s="140"/>
    </row>
    <row r="271" s="119" customFormat="1" ht="48" customHeight="1" outlineLevel="2" spans="1:30">
      <c r="A271" s="162">
        <f t="shared" si="63"/>
        <v>12</v>
      </c>
      <c r="B271" s="165" t="s">
        <v>99</v>
      </c>
      <c r="C271" s="166" t="s">
        <v>100</v>
      </c>
      <c r="D271" s="165" t="s">
        <v>70</v>
      </c>
      <c r="E271" s="143">
        <v>15.988</v>
      </c>
      <c r="F271" s="143">
        <f>$F$23</f>
        <v>12</v>
      </c>
      <c r="G271" s="143">
        <f>$G$23</f>
        <v>23.4325</v>
      </c>
      <c r="H271" s="143">
        <f>$H$23</f>
        <v>3.8</v>
      </c>
      <c r="I271" s="17">
        <f t="shared" si="64"/>
        <v>3.92325</v>
      </c>
      <c r="J271" s="18">
        <f t="shared" si="65"/>
        <v>43.16</v>
      </c>
      <c r="K271" s="19">
        <f t="shared" si="66"/>
        <v>690.04</v>
      </c>
      <c r="L271" s="135"/>
      <c r="M271" s="136"/>
      <c r="N271" s="136"/>
      <c r="O271" s="136"/>
      <c r="P271" s="37">
        <f t="shared" si="67"/>
        <v>39.2325</v>
      </c>
      <c r="Q271" s="99">
        <f>$Q$23</f>
        <v>22.75</v>
      </c>
      <c r="R271" s="163">
        <f>$R$23</f>
        <v>0.03</v>
      </c>
      <c r="S271" s="99">
        <f>$S$23</f>
        <v>12</v>
      </c>
      <c r="T271" s="99">
        <f>$T$23</f>
        <v>3.5</v>
      </c>
      <c r="U271" s="99">
        <f>$U$23</f>
        <v>0.3</v>
      </c>
      <c r="V271" s="37">
        <f t="shared" si="68"/>
        <v>627.24921</v>
      </c>
      <c r="W271" s="139"/>
      <c r="X271" s="139"/>
      <c r="Y271" s="139"/>
      <c r="Z271" s="139"/>
      <c r="AA271" s="139"/>
      <c r="AB271" s="139"/>
      <c r="AC271" s="140"/>
      <c r="AD271" s="140"/>
    </row>
    <row r="272" s="119" customFormat="1" ht="24" customHeight="1" outlineLevel="1" spans="1:30">
      <c r="A272" s="141"/>
      <c r="B272" s="14" t="s">
        <v>101</v>
      </c>
      <c r="C272" s="15"/>
      <c r="D272" s="142"/>
      <c r="E272" s="143"/>
      <c r="F272" s="143"/>
      <c r="G272" s="143"/>
      <c r="H272" s="143"/>
      <c r="I272" s="143"/>
      <c r="J272" s="143"/>
      <c r="K272" s="144"/>
      <c r="L272" s="135"/>
      <c r="M272" s="136"/>
      <c r="N272" s="136"/>
      <c r="O272" s="136"/>
      <c r="P272" s="137"/>
      <c r="Q272" s="137"/>
      <c r="R272" s="138"/>
      <c r="S272" s="137"/>
      <c r="T272" s="137"/>
      <c r="U272" s="137"/>
      <c r="V272" s="137"/>
      <c r="W272" s="139"/>
      <c r="X272" s="139"/>
      <c r="Y272" s="139"/>
      <c r="Z272" s="139"/>
      <c r="AA272" s="139"/>
      <c r="AB272" s="139"/>
      <c r="AC272" s="140"/>
      <c r="AD272" s="140"/>
    </row>
    <row r="273" s="119" customFormat="1" ht="96" customHeight="1" outlineLevel="2" spans="1:30">
      <c r="A273" s="162">
        <f>1+N(A272)</f>
        <v>1</v>
      </c>
      <c r="B273" s="14" t="s">
        <v>460</v>
      </c>
      <c r="C273" s="167" t="s">
        <v>103</v>
      </c>
      <c r="D273" s="142" t="s">
        <v>63</v>
      </c>
      <c r="E273" s="143">
        <v>13.81</v>
      </c>
      <c r="F273" s="143">
        <f>$F$25</f>
        <v>70</v>
      </c>
      <c r="G273" s="143">
        <f>$G$25</f>
        <v>0</v>
      </c>
      <c r="H273" s="143">
        <f>$H$25</f>
        <v>66.711</v>
      </c>
      <c r="I273" s="17">
        <f>(F273+G273+H273)*$I$3</f>
        <v>13.6711</v>
      </c>
      <c r="J273" s="18">
        <f>ROUND(SUM(F273:I273),2)</f>
        <v>150.38</v>
      </c>
      <c r="K273" s="19">
        <f>ROUND(J273*E273,2)</f>
        <v>2076.75</v>
      </c>
      <c r="L273" s="135"/>
      <c r="M273" s="136"/>
      <c r="N273" s="136"/>
      <c r="O273" s="136"/>
      <c r="P273" s="37">
        <f>Q273+Q273*R273+S273+T273+U273</f>
        <v>136.711</v>
      </c>
      <c r="Q273" s="99">
        <f>$Q$25</f>
        <v>0</v>
      </c>
      <c r="R273" s="163">
        <f>$R$25</f>
        <v>0.01</v>
      </c>
      <c r="S273" s="99">
        <f>$S$25</f>
        <v>70</v>
      </c>
      <c r="T273" s="99">
        <f>$T$25</f>
        <v>64.711</v>
      </c>
      <c r="U273" s="99">
        <f>$U$25</f>
        <v>2</v>
      </c>
      <c r="V273" s="37">
        <f>P273*E273</f>
        <v>1887.97891</v>
      </c>
      <c r="W273" s="139"/>
      <c r="X273" s="139"/>
      <c r="Y273" s="139"/>
      <c r="Z273" s="139"/>
      <c r="AA273" s="139"/>
      <c r="AB273" s="139"/>
      <c r="AC273" s="140"/>
      <c r="AD273" s="140"/>
    </row>
    <row r="274" s="119" customFormat="1" ht="72" customHeight="1" outlineLevel="2" spans="1:30">
      <c r="A274" s="162">
        <f>1+N(A273)</f>
        <v>2</v>
      </c>
      <c r="B274" s="14" t="s">
        <v>104</v>
      </c>
      <c r="C274" s="167" t="s">
        <v>105</v>
      </c>
      <c r="D274" s="142" t="s">
        <v>70</v>
      </c>
      <c r="E274" s="143">
        <v>10.483</v>
      </c>
      <c r="F274" s="143">
        <f>$F$127</f>
        <v>50</v>
      </c>
      <c r="G274" s="143">
        <f>$G$127</f>
        <v>0</v>
      </c>
      <c r="H274" s="143">
        <f>$H$127</f>
        <v>22.0941</v>
      </c>
      <c r="I274" s="17">
        <f>(F274+G274+H274)*$I$3</f>
        <v>7.20941</v>
      </c>
      <c r="J274" s="18">
        <f>ROUND(SUM(F274:I274),2)</f>
        <v>79.3</v>
      </c>
      <c r="K274" s="19">
        <f>ROUND(J274*E274,2)</f>
        <v>831.3</v>
      </c>
      <c r="L274" s="135"/>
      <c r="M274" s="136"/>
      <c r="N274" s="136"/>
      <c r="O274" s="136"/>
      <c r="P274" s="37">
        <f>Q274+Q274*R274+S274+T274+U274</f>
        <v>72.0941</v>
      </c>
      <c r="Q274" s="99">
        <f>$Q$127</f>
        <v>0</v>
      </c>
      <c r="R274" s="163">
        <f>$R$127</f>
        <v>0.01</v>
      </c>
      <c r="S274" s="99">
        <f>$S$127</f>
        <v>50</v>
      </c>
      <c r="T274" s="99">
        <f>$T$127</f>
        <v>22.0941</v>
      </c>
      <c r="U274" s="99">
        <f>$U$127</f>
        <v>0</v>
      </c>
      <c r="V274" s="37">
        <f>P274*E274</f>
        <v>755.7624503</v>
      </c>
      <c r="W274" s="139"/>
      <c r="X274" s="139"/>
      <c r="Y274" s="139"/>
      <c r="Z274" s="139"/>
      <c r="AA274" s="139"/>
      <c r="AB274" s="139"/>
      <c r="AC274" s="140"/>
      <c r="AD274" s="140"/>
    </row>
    <row r="275" s="119" customFormat="1" ht="72" customHeight="1" outlineLevel="2" spans="1:30">
      <c r="A275" s="162">
        <f>1+N(A274)</f>
        <v>3</v>
      </c>
      <c r="B275" s="14" t="s">
        <v>106</v>
      </c>
      <c r="C275" s="15" t="s">
        <v>107</v>
      </c>
      <c r="D275" s="142" t="s">
        <v>70</v>
      </c>
      <c r="E275" s="143">
        <v>10.483</v>
      </c>
      <c r="F275" s="143">
        <f>$F$27</f>
        <v>18</v>
      </c>
      <c r="G275" s="143">
        <f>$G$27</f>
        <v>163.255</v>
      </c>
      <c r="H275" s="143">
        <f>$H$27</f>
        <v>3.8</v>
      </c>
      <c r="I275" s="17">
        <f>(F275+G275+H275)*$I$3</f>
        <v>18.5055</v>
      </c>
      <c r="J275" s="18">
        <f>ROUND(SUM(F275:I275),2)</f>
        <v>203.56</v>
      </c>
      <c r="K275" s="19">
        <f>ROUND(J275*E275,2)</f>
        <v>2133.92</v>
      </c>
      <c r="L275" s="135"/>
      <c r="M275" s="136"/>
      <c r="N275" s="136"/>
      <c r="O275" s="136"/>
      <c r="P275" s="37">
        <f>Q275+Q275*R275+S275+T275+U275</f>
        <v>185.055</v>
      </c>
      <c r="Q275" s="99">
        <f>$Q$27</f>
        <v>158.5</v>
      </c>
      <c r="R275" s="163">
        <f>$R$27</f>
        <v>0.03</v>
      </c>
      <c r="S275" s="99">
        <f>$S$27</f>
        <v>18</v>
      </c>
      <c r="T275" s="99">
        <f>$T$27</f>
        <v>3.5</v>
      </c>
      <c r="U275" s="99">
        <f>$U$27</f>
        <v>0.3</v>
      </c>
      <c r="V275" s="37">
        <f>P275*E275</f>
        <v>1939.931565</v>
      </c>
      <c r="W275" s="139"/>
      <c r="X275" s="139"/>
      <c r="Y275" s="139"/>
      <c r="Z275" s="139"/>
      <c r="AA275" s="139"/>
      <c r="AB275" s="139"/>
      <c r="AC275" s="140"/>
      <c r="AD275" s="140"/>
    </row>
    <row r="276" s="119" customFormat="1" ht="72" customHeight="1" outlineLevel="2" spans="1:30">
      <c r="A276" s="162">
        <f>1+N(A275)</f>
        <v>4</v>
      </c>
      <c r="B276" s="14" t="s">
        <v>108</v>
      </c>
      <c r="C276" s="15" t="s">
        <v>109</v>
      </c>
      <c r="D276" s="142" t="s">
        <v>70</v>
      </c>
      <c r="E276" s="143">
        <f>2.37*2</f>
        <v>4.74</v>
      </c>
      <c r="F276" s="143">
        <f>$F$28</f>
        <v>30</v>
      </c>
      <c r="G276" s="143">
        <f>$G$28</f>
        <v>65.6625</v>
      </c>
      <c r="H276" s="143">
        <f>$H$28</f>
        <v>2.7</v>
      </c>
      <c r="I276" s="17">
        <f>(F276+G276+H276)*$I$3</f>
        <v>9.83625</v>
      </c>
      <c r="J276" s="18">
        <f>ROUND(SUM(F276:I276),2)</f>
        <v>108.2</v>
      </c>
      <c r="K276" s="19">
        <f>ROUND(J276*E276,2)</f>
        <v>512.87</v>
      </c>
      <c r="L276" s="135"/>
      <c r="M276" s="136"/>
      <c r="N276" s="136"/>
      <c r="O276" s="136"/>
      <c r="P276" s="37">
        <f>Q276+Q276*R276+S276+T276+U276</f>
        <v>98.3625</v>
      </c>
      <c r="Q276" s="99">
        <f>$Q$28</f>
        <v>63.75</v>
      </c>
      <c r="R276" s="163">
        <f>$R$28</f>
        <v>0.03</v>
      </c>
      <c r="S276" s="99">
        <f>$S$28</f>
        <v>30</v>
      </c>
      <c r="T276" s="99">
        <f>$T$28</f>
        <v>2.5</v>
      </c>
      <c r="U276" s="99">
        <f>$U$28</f>
        <v>0.2</v>
      </c>
      <c r="V276" s="37">
        <f>P276*E276</f>
        <v>466.23825</v>
      </c>
      <c r="W276" s="139"/>
      <c r="X276" s="139"/>
      <c r="Y276" s="139"/>
      <c r="Z276" s="139"/>
      <c r="AA276" s="139"/>
      <c r="AB276" s="139"/>
      <c r="AC276" s="140"/>
      <c r="AD276" s="140"/>
    </row>
    <row r="277" s="119" customFormat="1" ht="72" customHeight="1" outlineLevel="2" spans="1:30">
      <c r="A277" s="162">
        <f>1+N(A276)</f>
        <v>5</v>
      </c>
      <c r="B277" s="14" t="s">
        <v>110</v>
      </c>
      <c r="C277" s="15" t="s">
        <v>111</v>
      </c>
      <c r="D277" s="142" t="s">
        <v>63</v>
      </c>
      <c r="E277" s="143">
        <v>17.393</v>
      </c>
      <c r="F277" s="143">
        <f>$F$29</f>
        <v>45</v>
      </c>
      <c r="G277" s="143">
        <f>$G$29</f>
        <v>85.5</v>
      </c>
      <c r="H277" s="143">
        <f>$H$29</f>
        <v>7.3</v>
      </c>
      <c r="I277" s="17">
        <f>(F277+G277+H277)*$I$3</f>
        <v>13.78</v>
      </c>
      <c r="J277" s="18">
        <f>ROUND(SUM(F277:I277),2)</f>
        <v>151.58</v>
      </c>
      <c r="K277" s="19">
        <f>ROUND(J277*E277,2)</f>
        <v>2636.43</v>
      </c>
      <c r="L277" s="135"/>
      <c r="M277" s="136"/>
      <c r="N277" s="136"/>
      <c r="O277" s="136"/>
      <c r="P277" s="37">
        <f>Q277+Q277*R277+S277+T277+U277</f>
        <v>137.8</v>
      </c>
      <c r="Q277" s="99">
        <f>$Q$29</f>
        <v>85.5</v>
      </c>
      <c r="R277" s="163">
        <f>$R$29</f>
        <v>0</v>
      </c>
      <c r="S277" s="99">
        <f>$S$29</f>
        <v>45</v>
      </c>
      <c r="T277" s="99">
        <f>$T$29</f>
        <v>6.5</v>
      </c>
      <c r="U277" s="99">
        <f>$U$29</f>
        <v>0.8</v>
      </c>
      <c r="V277" s="37">
        <f>P277*E277</f>
        <v>2396.7554</v>
      </c>
      <c r="W277" s="139"/>
      <c r="X277" s="139"/>
      <c r="Y277" s="139"/>
      <c r="Z277" s="139"/>
      <c r="AA277" s="139"/>
      <c r="AB277" s="139"/>
      <c r="AC277" s="140"/>
      <c r="AD277" s="140"/>
    </row>
    <row r="278" s="119" customFormat="1" ht="24" customHeight="1" outlineLevel="1" spans="1:30">
      <c r="A278" s="141"/>
      <c r="B278" s="14" t="s">
        <v>112</v>
      </c>
      <c r="C278" s="15"/>
      <c r="D278" s="142"/>
      <c r="E278" s="143"/>
      <c r="F278" s="143"/>
      <c r="G278" s="143"/>
      <c r="H278" s="143"/>
      <c r="I278" s="143"/>
      <c r="J278" s="143"/>
      <c r="K278" s="144"/>
      <c r="L278" s="135"/>
      <c r="M278" s="136"/>
      <c r="N278" s="136"/>
      <c r="O278" s="136"/>
      <c r="P278" s="137"/>
      <c r="Q278" s="137"/>
      <c r="R278" s="138"/>
      <c r="S278" s="137"/>
      <c r="T278" s="137"/>
      <c r="U278" s="137"/>
      <c r="V278" s="137"/>
      <c r="W278" s="139"/>
      <c r="X278" s="139"/>
      <c r="Y278" s="139"/>
      <c r="Z278" s="139"/>
      <c r="AA278" s="139"/>
      <c r="AB278" s="139"/>
      <c r="AC278" s="140"/>
      <c r="AD278" s="140"/>
    </row>
    <row r="279" s="119" customFormat="1" ht="24" customHeight="1" outlineLevel="1" spans="1:30">
      <c r="A279" s="132" t="s">
        <v>139</v>
      </c>
      <c r="B279" s="8" t="s">
        <v>525</v>
      </c>
      <c r="C279" s="8"/>
      <c r="D279" s="133"/>
      <c r="E279" s="134"/>
      <c r="F279" s="134"/>
      <c r="G279" s="134"/>
      <c r="H279" s="134"/>
      <c r="I279" s="134"/>
      <c r="J279" s="134"/>
      <c r="K279" s="11"/>
      <c r="L279" s="135"/>
      <c r="M279" s="136"/>
      <c r="N279" s="136"/>
      <c r="O279" s="136"/>
      <c r="P279" s="137"/>
      <c r="Q279" s="137"/>
      <c r="R279" s="138"/>
      <c r="S279" s="137"/>
      <c r="T279" s="137"/>
      <c r="U279" s="137"/>
      <c r="V279" s="137"/>
      <c r="W279" s="139"/>
      <c r="X279" s="139"/>
      <c r="Y279" s="139"/>
      <c r="Z279" s="139"/>
      <c r="AA279" s="139"/>
      <c r="AB279" s="139"/>
      <c r="AC279" s="140"/>
      <c r="AD279" s="140"/>
    </row>
    <row r="280" s="119" customFormat="1" ht="24" customHeight="1" outlineLevel="1" spans="1:30">
      <c r="A280" s="141"/>
      <c r="B280" s="14" t="s">
        <v>60</v>
      </c>
      <c r="C280" s="15"/>
      <c r="D280" s="142"/>
      <c r="E280" s="143"/>
      <c r="F280" s="143"/>
      <c r="G280" s="143"/>
      <c r="H280" s="143"/>
      <c r="I280" s="143"/>
      <c r="J280" s="143"/>
      <c r="K280" s="144"/>
      <c r="L280" s="135"/>
      <c r="M280" s="136"/>
      <c r="N280" s="136"/>
      <c r="O280" s="136"/>
      <c r="P280" s="137"/>
      <c r="Q280" s="137"/>
      <c r="R280" s="138"/>
      <c r="S280" s="137"/>
      <c r="T280" s="137"/>
      <c r="U280" s="137"/>
      <c r="V280" s="137"/>
      <c r="W280" s="139"/>
      <c r="X280" s="139"/>
      <c r="Y280" s="139"/>
      <c r="Z280" s="139"/>
      <c r="AA280" s="139"/>
      <c r="AB280" s="139"/>
      <c r="AC280" s="140"/>
      <c r="AD280" s="140"/>
    </row>
    <row r="281" s="119" customFormat="1" ht="96" customHeight="1" outlineLevel="2" spans="1:30">
      <c r="A281" s="162">
        <f>1+N(A280)</f>
        <v>1</v>
      </c>
      <c r="B281" s="14" t="s">
        <v>61</v>
      </c>
      <c r="C281" s="15" t="s">
        <v>62</v>
      </c>
      <c r="D281" s="142" t="s">
        <v>63</v>
      </c>
      <c r="E281" s="143">
        <v>3.855</v>
      </c>
      <c r="F281" s="143">
        <f>$F$7</f>
        <v>130</v>
      </c>
      <c r="G281" s="143">
        <f>$G$7</f>
        <v>628.3</v>
      </c>
      <c r="H281" s="17">
        <f>$H$7</f>
        <v>47.7</v>
      </c>
      <c r="I281" s="17">
        <f>(F281+G281+H281)*$I$3</f>
        <v>80.6</v>
      </c>
      <c r="J281" s="18">
        <f>ROUND(SUM(F281:I281),2)</f>
        <v>886.6</v>
      </c>
      <c r="K281" s="19">
        <f>ROUND(J281*E281,2)</f>
        <v>3417.84</v>
      </c>
      <c r="L281" s="135"/>
      <c r="M281" s="136"/>
      <c r="N281" s="136"/>
      <c r="O281" s="136"/>
      <c r="P281" s="137">
        <f>Q281+Q281*R281+S281+T281+U281</f>
        <v>806</v>
      </c>
      <c r="Q281" s="99">
        <f>$Q$7</f>
        <v>610</v>
      </c>
      <c r="R281" s="163">
        <f>$R$7</f>
        <v>0.03</v>
      </c>
      <c r="S281" s="99">
        <f>$S$7</f>
        <v>130</v>
      </c>
      <c r="T281" s="99">
        <f>$T$7</f>
        <v>46.2</v>
      </c>
      <c r="U281" s="99">
        <f>$U$7</f>
        <v>1.5</v>
      </c>
      <c r="V281" s="37">
        <f>P281*E281</f>
        <v>3107.13</v>
      </c>
      <c r="W281" s="139"/>
      <c r="X281" s="139"/>
      <c r="Y281" s="139"/>
      <c r="Z281" s="139"/>
      <c r="AA281" s="139"/>
      <c r="AB281" s="139"/>
      <c r="AC281" s="140"/>
      <c r="AD281" s="140"/>
    </row>
    <row r="282" s="119" customFormat="1" ht="108" customHeight="1" outlineLevel="2" spans="1:30">
      <c r="A282" s="162">
        <f>1+N(A281)</f>
        <v>2</v>
      </c>
      <c r="B282" s="14" t="s">
        <v>64</v>
      </c>
      <c r="C282" s="15" t="s">
        <v>65</v>
      </c>
      <c r="D282" s="142" t="s">
        <v>63</v>
      </c>
      <c r="E282" s="143">
        <v>12.299</v>
      </c>
      <c r="F282" s="143">
        <f>$F$8</f>
        <v>130</v>
      </c>
      <c r="G282" s="143">
        <f>$G$8</f>
        <v>854.9</v>
      </c>
      <c r="H282" s="143">
        <f>$H$8</f>
        <v>47.7</v>
      </c>
      <c r="I282" s="17">
        <f>(F282+G282+H282)*$I$3</f>
        <v>103.26</v>
      </c>
      <c r="J282" s="18">
        <f>ROUND(SUM(F282:I282),2)</f>
        <v>1135.86</v>
      </c>
      <c r="K282" s="19">
        <f>ROUND(J282*E282,2)</f>
        <v>13969.94</v>
      </c>
      <c r="L282" s="135"/>
      <c r="M282" s="136"/>
      <c r="N282" s="136"/>
      <c r="O282" s="136"/>
      <c r="P282" s="137">
        <f>Q282+Q282*R282+S282+T282+U282</f>
        <v>1032.6</v>
      </c>
      <c r="Q282" s="99">
        <f>$Q$8</f>
        <v>830</v>
      </c>
      <c r="R282" s="163">
        <f>$R$8</f>
        <v>0.03</v>
      </c>
      <c r="S282" s="99">
        <f>$S$8</f>
        <v>130</v>
      </c>
      <c r="T282" s="99">
        <f>$T$8</f>
        <v>46.2</v>
      </c>
      <c r="U282" s="99">
        <f>$U$8</f>
        <v>1.5</v>
      </c>
      <c r="V282" s="37">
        <f>P282*E282</f>
        <v>12699.9474</v>
      </c>
      <c r="W282" s="139"/>
      <c r="X282" s="139"/>
      <c r="Y282" s="139"/>
      <c r="Z282" s="139"/>
      <c r="AA282" s="139"/>
      <c r="AB282" s="139"/>
      <c r="AC282" s="140"/>
      <c r="AD282" s="140"/>
    </row>
    <row r="283" s="119" customFormat="1" ht="36" customHeight="1" outlineLevel="2" spans="1:30">
      <c r="A283" s="162">
        <f>1+N(A282)</f>
        <v>3</v>
      </c>
      <c r="B283" s="14" t="s">
        <v>68</v>
      </c>
      <c r="C283" s="15" t="s">
        <v>69</v>
      </c>
      <c r="D283" s="142" t="s">
        <v>70</v>
      </c>
      <c r="E283" s="143">
        <v>14.006</v>
      </c>
      <c r="F283" s="143">
        <f>$F$9</f>
        <v>12</v>
      </c>
      <c r="G283" s="143">
        <f>$G$9</f>
        <v>19.57</v>
      </c>
      <c r="H283" s="143">
        <f>$H$9</f>
        <v>0.5</v>
      </c>
      <c r="I283" s="17">
        <f>(F283+G283+H283)*$I$3</f>
        <v>3.207</v>
      </c>
      <c r="J283" s="18">
        <f>ROUND(SUM(F283:I283),2)</f>
        <v>35.28</v>
      </c>
      <c r="K283" s="19">
        <f>ROUND(J283*E283,2)</f>
        <v>494.13</v>
      </c>
      <c r="L283" s="135"/>
      <c r="M283" s="136"/>
      <c r="N283" s="136"/>
      <c r="O283" s="136"/>
      <c r="P283" s="37">
        <f>Q283+Q283*R283+S283+T283+U283</f>
        <v>32.07</v>
      </c>
      <c r="Q283" s="99">
        <f>$Q$9</f>
        <v>19</v>
      </c>
      <c r="R283" s="163">
        <f>$R$9</f>
        <v>0.03</v>
      </c>
      <c r="S283" s="99">
        <f>$S$9</f>
        <v>12</v>
      </c>
      <c r="T283" s="99">
        <f>$T$9</f>
        <v>0.3</v>
      </c>
      <c r="U283" s="99">
        <f>$U$9</f>
        <v>0.2</v>
      </c>
      <c r="V283" s="37">
        <f>P283*E283</f>
        <v>449.17242</v>
      </c>
      <c r="W283" s="139"/>
      <c r="X283" s="139"/>
      <c r="Y283" s="139"/>
      <c r="Z283" s="139"/>
      <c r="AA283" s="139"/>
      <c r="AB283" s="139"/>
      <c r="AC283" s="140"/>
      <c r="AD283" s="140"/>
    </row>
    <row r="284" s="119" customFormat="1" ht="48" customHeight="1" outlineLevel="2" spans="1:30">
      <c r="A284" s="162">
        <f>1+N(A283)</f>
        <v>4</v>
      </c>
      <c r="B284" s="14" t="s">
        <v>71</v>
      </c>
      <c r="C284" s="15" t="s">
        <v>72</v>
      </c>
      <c r="D284" s="142" t="s">
        <v>63</v>
      </c>
      <c r="E284" s="143">
        <f>+E281+E282</f>
        <v>16.154</v>
      </c>
      <c r="F284" s="143">
        <f>$F$10</f>
        <v>40</v>
      </c>
      <c r="G284" s="143">
        <f>$G$10</f>
        <v>15</v>
      </c>
      <c r="H284" s="143">
        <f>$H$10</f>
        <v>0.8</v>
      </c>
      <c r="I284" s="17">
        <f>(F284+G284+H284)*$I$3</f>
        <v>5.58</v>
      </c>
      <c r="J284" s="18">
        <f>ROUND(SUM(F284:I284),2)</f>
        <v>61.38</v>
      </c>
      <c r="K284" s="19">
        <f>ROUND(J284*E284,2)</f>
        <v>991.53</v>
      </c>
      <c r="L284" s="135"/>
      <c r="M284" s="136"/>
      <c r="N284" s="136"/>
      <c r="O284" s="136"/>
      <c r="P284" s="37">
        <f>Q284+Q284*R284+S284+T284+U284</f>
        <v>55.8</v>
      </c>
      <c r="Q284" s="99">
        <f>$Q$10</f>
        <v>15</v>
      </c>
      <c r="R284" s="163">
        <f>$R$10</f>
        <v>0</v>
      </c>
      <c r="S284" s="99">
        <f>$S$10</f>
        <v>40</v>
      </c>
      <c r="T284" s="99">
        <f>$T$10</f>
        <v>0.5</v>
      </c>
      <c r="U284" s="99">
        <f>$U$10</f>
        <v>0.3</v>
      </c>
      <c r="V284" s="37">
        <f>P284*E284</f>
        <v>901.3932</v>
      </c>
      <c r="W284" s="139"/>
      <c r="X284" s="139"/>
      <c r="Y284" s="139"/>
      <c r="Z284" s="139"/>
      <c r="AA284" s="139"/>
      <c r="AB284" s="139"/>
      <c r="AC284" s="140"/>
      <c r="AD284" s="140"/>
    </row>
    <row r="285" s="119" customFormat="1" ht="24" customHeight="1" outlineLevel="1" spans="1:30">
      <c r="A285" s="141"/>
      <c r="B285" s="14" t="s">
        <v>494</v>
      </c>
      <c r="C285" s="15"/>
      <c r="D285" s="142"/>
      <c r="E285" s="143"/>
      <c r="F285" s="143"/>
      <c r="G285" s="143"/>
      <c r="H285" s="143"/>
      <c r="I285" s="143"/>
      <c r="J285" s="143"/>
      <c r="K285" s="144"/>
      <c r="L285" s="135"/>
      <c r="M285" s="136"/>
      <c r="N285" s="136"/>
      <c r="O285" s="136"/>
      <c r="P285" s="137"/>
      <c r="Q285" s="137"/>
      <c r="R285" s="138"/>
      <c r="S285" s="137"/>
      <c r="T285" s="137"/>
      <c r="U285" s="137"/>
      <c r="V285" s="137"/>
      <c r="W285" s="139"/>
      <c r="X285" s="139"/>
      <c r="Y285" s="139"/>
      <c r="Z285" s="139"/>
      <c r="AA285" s="139"/>
      <c r="AB285" s="139"/>
      <c r="AC285" s="140"/>
      <c r="AD285" s="140"/>
    </row>
    <row r="286" s="119" customFormat="1" ht="72" customHeight="1" outlineLevel="2" spans="1:30">
      <c r="A286" s="162">
        <f t="shared" ref="A286:A294" si="69">1+N(A285)</f>
        <v>1</v>
      </c>
      <c r="B286" s="164" t="s">
        <v>74</v>
      </c>
      <c r="C286" s="15" t="s">
        <v>75</v>
      </c>
      <c r="D286" s="142" t="s">
        <v>63</v>
      </c>
      <c r="E286" s="143">
        <v>6.053</v>
      </c>
      <c r="F286" s="143">
        <f>$F$12</f>
        <v>95</v>
      </c>
      <c r="G286" s="143">
        <f>$G$12</f>
        <v>813.75</v>
      </c>
      <c r="H286" s="143">
        <f>$H$12</f>
        <v>18.3</v>
      </c>
      <c r="I286" s="17">
        <f t="shared" ref="I286:I294" si="70">(F286+G286+H286)*$I$3</f>
        <v>92.705</v>
      </c>
      <c r="J286" s="18">
        <f t="shared" ref="J286:J294" si="71">ROUND(SUM(F286:I286),2)</f>
        <v>1019.76</v>
      </c>
      <c r="K286" s="19">
        <f t="shared" ref="K286:K294" si="72">ROUND(J286*E286,2)</f>
        <v>6172.61</v>
      </c>
      <c r="L286" s="135"/>
      <c r="M286" s="136"/>
      <c r="N286" s="136"/>
      <c r="O286" s="136"/>
      <c r="P286" s="37">
        <f t="shared" ref="P286:P294" si="73">Q286+Q286*R286+S286+T286+U286</f>
        <v>927.05</v>
      </c>
      <c r="Q286" s="99">
        <f>$Q$12</f>
        <v>775</v>
      </c>
      <c r="R286" s="163">
        <f>$R$12</f>
        <v>0.05</v>
      </c>
      <c r="S286" s="99">
        <f>$S$12</f>
        <v>95</v>
      </c>
      <c r="T286" s="99">
        <f>$T$12</f>
        <v>16.8</v>
      </c>
      <c r="U286" s="99">
        <f>$U$12</f>
        <v>1.5</v>
      </c>
      <c r="V286" s="37">
        <f t="shared" ref="V286:V294" si="74">P286*E286</f>
        <v>5611.43365</v>
      </c>
      <c r="W286" s="139"/>
      <c r="X286" s="139"/>
      <c r="Y286" s="139"/>
      <c r="Z286" s="139"/>
      <c r="AA286" s="139"/>
      <c r="AB286" s="139"/>
      <c r="AC286" s="140"/>
      <c r="AD286" s="140"/>
    </row>
    <row r="287" s="119" customFormat="1" ht="96" customHeight="1" outlineLevel="2" spans="1:30">
      <c r="A287" s="162">
        <f t="shared" si="69"/>
        <v>2</v>
      </c>
      <c r="B287" s="165" t="s">
        <v>76</v>
      </c>
      <c r="C287" s="166" t="s">
        <v>77</v>
      </c>
      <c r="D287" s="142" t="s">
        <v>63</v>
      </c>
      <c r="E287" s="143">
        <v>24.327</v>
      </c>
      <c r="F287" s="143">
        <f>$F$13</f>
        <v>145</v>
      </c>
      <c r="G287" s="143">
        <f>$G$13</f>
        <v>651</v>
      </c>
      <c r="H287" s="143">
        <f>$H$13</f>
        <v>113.55</v>
      </c>
      <c r="I287" s="17">
        <f t="shared" si="70"/>
        <v>90.955</v>
      </c>
      <c r="J287" s="18">
        <f t="shared" si="71"/>
        <v>1000.51</v>
      </c>
      <c r="K287" s="19">
        <f t="shared" si="72"/>
        <v>24339.41</v>
      </c>
      <c r="L287" s="135"/>
      <c r="M287" s="136"/>
      <c r="N287" s="136"/>
      <c r="O287" s="136"/>
      <c r="P287" s="37">
        <f t="shared" si="73"/>
        <v>909.55</v>
      </c>
      <c r="Q287" s="99">
        <f>$Q$13</f>
        <v>620</v>
      </c>
      <c r="R287" s="163">
        <f>$R$13</f>
        <v>0.05</v>
      </c>
      <c r="S287" s="99">
        <f>$S$13</f>
        <v>145</v>
      </c>
      <c r="T287" s="99">
        <f>$T$13</f>
        <v>111.75</v>
      </c>
      <c r="U287" s="99">
        <f>$U$13</f>
        <v>1.8</v>
      </c>
      <c r="V287" s="37">
        <f t="shared" si="74"/>
        <v>22126.62285</v>
      </c>
      <c r="W287" s="139"/>
      <c r="X287" s="139"/>
      <c r="Y287" s="139"/>
      <c r="Z287" s="139"/>
      <c r="AA287" s="139"/>
      <c r="AB287" s="139"/>
      <c r="AC287" s="140"/>
      <c r="AD287" s="140"/>
    </row>
    <row r="288" s="119" customFormat="1" ht="60" customHeight="1" outlineLevel="2" spans="1:30">
      <c r="A288" s="162">
        <f t="shared" si="69"/>
        <v>3</v>
      </c>
      <c r="B288" s="14" t="s">
        <v>226</v>
      </c>
      <c r="C288" s="15" t="s">
        <v>225</v>
      </c>
      <c r="D288" s="142" t="s">
        <v>63</v>
      </c>
      <c r="E288" s="143">
        <v>1.901</v>
      </c>
      <c r="F288" s="143">
        <f>$F$14</f>
        <v>35</v>
      </c>
      <c r="G288" s="143">
        <f>$G$14</f>
        <v>346.08</v>
      </c>
      <c r="H288" s="143">
        <f>$H$14</f>
        <v>54.7</v>
      </c>
      <c r="I288" s="17">
        <f t="shared" si="70"/>
        <v>43.578</v>
      </c>
      <c r="J288" s="18">
        <f t="shared" si="71"/>
        <v>479.36</v>
      </c>
      <c r="K288" s="19">
        <f t="shared" si="72"/>
        <v>911.26</v>
      </c>
      <c r="L288" s="135"/>
      <c r="M288" s="136"/>
      <c r="N288" s="136"/>
      <c r="O288" s="136"/>
      <c r="P288" s="37">
        <f t="shared" si="73"/>
        <v>435.78</v>
      </c>
      <c r="Q288" s="99">
        <f>$Q$14</f>
        <v>336</v>
      </c>
      <c r="R288" s="163">
        <f>$R$14</f>
        <v>0.03</v>
      </c>
      <c r="S288" s="99">
        <f>$S$14</f>
        <v>35</v>
      </c>
      <c r="T288" s="99">
        <f>$T$14</f>
        <v>53.5</v>
      </c>
      <c r="U288" s="99">
        <f>$U$14</f>
        <v>1.2</v>
      </c>
      <c r="V288" s="37">
        <f t="shared" si="74"/>
        <v>828.41778</v>
      </c>
      <c r="W288" s="139"/>
      <c r="X288" s="139"/>
      <c r="Y288" s="139"/>
      <c r="Z288" s="139"/>
      <c r="AA288" s="139"/>
      <c r="AB288" s="139"/>
      <c r="AC288" s="140"/>
      <c r="AD288" s="140"/>
    </row>
    <row r="289" s="119" customFormat="1" ht="48" customHeight="1" outlineLevel="2" spans="1:30">
      <c r="A289" s="162">
        <f t="shared" si="69"/>
        <v>4</v>
      </c>
      <c r="B289" s="165" t="s">
        <v>84</v>
      </c>
      <c r="C289" s="166" t="s">
        <v>83</v>
      </c>
      <c r="D289" s="165" t="s">
        <v>63</v>
      </c>
      <c r="E289" s="143">
        <f>0.34*2.5*2*2</f>
        <v>3.4</v>
      </c>
      <c r="F289" s="143">
        <f>$F$17</f>
        <v>110</v>
      </c>
      <c r="G289" s="143">
        <f>$G$17</f>
        <v>454.5</v>
      </c>
      <c r="H289" s="143">
        <f>$H$17</f>
        <v>55.2</v>
      </c>
      <c r="I289" s="17">
        <f t="shared" si="70"/>
        <v>61.97</v>
      </c>
      <c r="J289" s="18">
        <f t="shared" si="71"/>
        <v>681.67</v>
      </c>
      <c r="K289" s="19">
        <f t="shared" si="72"/>
        <v>2317.68</v>
      </c>
      <c r="L289" s="135"/>
      <c r="M289" s="136"/>
      <c r="N289" s="136"/>
      <c r="O289" s="136"/>
      <c r="P289" s="37">
        <f t="shared" si="73"/>
        <v>619.7</v>
      </c>
      <c r="Q289" s="99">
        <f>$Q$17</f>
        <v>450</v>
      </c>
      <c r="R289" s="163">
        <f>$R$17</f>
        <v>0.01</v>
      </c>
      <c r="S289" s="99">
        <f>$S$17</f>
        <v>110</v>
      </c>
      <c r="T289" s="99">
        <f>$T$17</f>
        <v>54</v>
      </c>
      <c r="U289" s="99">
        <f>$U$17</f>
        <v>1.2</v>
      </c>
      <c r="V289" s="37">
        <f t="shared" si="74"/>
        <v>2106.98</v>
      </c>
      <c r="W289" s="139"/>
      <c r="X289" s="139"/>
      <c r="Y289" s="139"/>
      <c r="Z289" s="139"/>
      <c r="AA289" s="139"/>
      <c r="AB289" s="139"/>
      <c r="AC289" s="140"/>
      <c r="AD289" s="140"/>
    </row>
    <row r="290" s="119" customFormat="1" ht="60" customHeight="1" outlineLevel="2" spans="1:30">
      <c r="A290" s="162">
        <f t="shared" si="69"/>
        <v>5</v>
      </c>
      <c r="B290" s="165" t="s">
        <v>85</v>
      </c>
      <c r="C290" s="166" t="s">
        <v>86</v>
      </c>
      <c r="D290" s="165" t="s">
        <v>63</v>
      </c>
      <c r="E290" s="143">
        <f>+(0.061+0.22+0.114+0.074)*0.95*2</f>
        <v>0.8911</v>
      </c>
      <c r="F290" s="143">
        <f>$F$18</f>
        <v>110</v>
      </c>
      <c r="G290" s="143">
        <f>$G$18</f>
        <v>454.5</v>
      </c>
      <c r="H290" s="143">
        <f>$H$18</f>
        <v>55.2</v>
      </c>
      <c r="I290" s="17">
        <f t="shared" si="70"/>
        <v>61.97</v>
      </c>
      <c r="J290" s="18">
        <f t="shared" si="71"/>
        <v>681.67</v>
      </c>
      <c r="K290" s="19">
        <f t="shared" si="72"/>
        <v>607.44</v>
      </c>
      <c r="L290" s="135"/>
      <c r="M290" s="136"/>
      <c r="N290" s="136"/>
      <c r="O290" s="136"/>
      <c r="P290" s="37">
        <f t="shared" si="73"/>
        <v>619.7</v>
      </c>
      <c r="Q290" s="99">
        <f>$Q$18</f>
        <v>450</v>
      </c>
      <c r="R290" s="163">
        <f>$R$18</f>
        <v>0.01</v>
      </c>
      <c r="S290" s="99">
        <f>$S$18</f>
        <v>110</v>
      </c>
      <c r="T290" s="99">
        <f>$T$18</f>
        <v>54</v>
      </c>
      <c r="U290" s="99">
        <f>$U$18</f>
        <v>1.2</v>
      </c>
      <c r="V290" s="37">
        <f t="shared" si="74"/>
        <v>552.21467</v>
      </c>
      <c r="W290" s="139"/>
      <c r="X290" s="139"/>
      <c r="Y290" s="139"/>
      <c r="Z290" s="139"/>
      <c r="AA290" s="139"/>
      <c r="AB290" s="139"/>
      <c r="AC290" s="140"/>
      <c r="AD290" s="140"/>
    </row>
    <row r="291" s="119" customFormat="1" ht="48" customHeight="1" outlineLevel="2" spans="1:30">
      <c r="A291" s="162">
        <f t="shared" si="69"/>
        <v>6</v>
      </c>
      <c r="B291" s="165" t="s">
        <v>87</v>
      </c>
      <c r="C291" s="166" t="s">
        <v>88</v>
      </c>
      <c r="D291" s="165" t="s">
        <v>63</v>
      </c>
      <c r="E291" s="143">
        <v>0.253</v>
      </c>
      <c r="F291" s="143">
        <f>$F$19</f>
        <v>110</v>
      </c>
      <c r="G291" s="143">
        <f>$G$19</f>
        <v>454.5</v>
      </c>
      <c r="H291" s="143">
        <f>$H$19</f>
        <v>55.2</v>
      </c>
      <c r="I291" s="17">
        <f t="shared" si="70"/>
        <v>61.97</v>
      </c>
      <c r="J291" s="18">
        <f t="shared" si="71"/>
        <v>681.67</v>
      </c>
      <c r="K291" s="19">
        <f t="shared" si="72"/>
        <v>172.46</v>
      </c>
      <c r="L291" s="135"/>
      <c r="M291" s="136"/>
      <c r="N291" s="136"/>
      <c r="O291" s="136"/>
      <c r="P291" s="37">
        <f t="shared" si="73"/>
        <v>619.7</v>
      </c>
      <c r="Q291" s="99">
        <f>$Q$19</f>
        <v>450</v>
      </c>
      <c r="R291" s="163">
        <f>$R$19</f>
        <v>0.01</v>
      </c>
      <c r="S291" s="99">
        <f>$S$19</f>
        <v>110</v>
      </c>
      <c r="T291" s="99">
        <f>$T$19</f>
        <v>54</v>
      </c>
      <c r="U291" s="99">
        <f>$U$19</f>
        <v>1.2</v>
      </c>
      <c r="V291" s="37">
        <f t="shared" si="74"/>
        <v>156.7841</v>
      </c>
      <c r="W291" s="139"/>
      <c r="X291" s="139"/>
      <c r="Y291" s="139"/>
      <c r="Z291" s="139"/>
      <c r="AA291" s="139"/>
      <c r="AB291" s="139"/>
      <c r="AC291" s="140"/>
      <c r="AD291" s="140"/>
    </row>
    <row r="292" s="119" customFormat="1" ht="48" customHeight="1" outlineLevel="2" spans="1:30">
      <c r="A292" s="162">
        <f t="shared" si="69"/>
        <v>7</v>
      </c>
      <c r="B292" s="165" t="s">
        <v>91</v>
      </c>
      <c r="C292" s="166" t="s">
        <v>92</v>
      </c>
      <c r="D292" s="165" t="s">
        <v>70</v>
      </c>
      <c r="E292" s="143">
        <v>13.264</v>
      </c>
      <c r="F292" s="143">
        <f>$F$20</f>
        <v>12</v>
      </c>
      <c r="G292" s="143">
        <f>$G$20</f>
        <v>25.75</v>
      </c>
      <c r="H292" s="143">
        <f>$H$20</f>
        <v>3.8</v>
      </c>
      <c r="I292" s="17">
        <f t="shared" si="70"/>
        <v>4.155</v>
      </c>
      <c r="J292" s="18">
        <f t="shared" si="71"/>
        <v>45.71</v>
      </c>
      <c r="K292" s="19">
        <f t="shared" si="72"/>
        <v>606.3</v>
      </c>
      <c r="L292" s="135"/>
      <c r="M292" s="136"/>
      <c r="N292" s="136"/>
      <c r="O292" s="136"/>
      <c r="P292" s="37">
        <f t="shared" si="73"/>
        <v>41.55</v>
      </c>
      <c r="Q292" s="99">
        <f>$Q$20</f>
        <v>25</v>
      </c>
      <c r="R292" s="163">
        <f>$R$20</f>
        <v>0.03</v>
      </c>
      <c r="S292" s="99">
        <f>$S$20</f>
        <v>12</v>
      </c>
      <c r="T292" s="99">
        <f>$T$20</f>
        <v>3.5</v>
      </c>
      <c r="U292" s="99">
        <f>$U$20</f>
        <v>0.3</v>
      </c>
      <c r="V292" s="37">
        <f t="shared" si="74"/>
        <v>551.1192</v>
      </c>
      <c r="W292" s="139"/>
      <c r="X292" s="139"/>
      <c r="Y292" s="139"/>
      <c r="Z292" s="139"/>
      <c r="AA292" s="139"/>
      <c r="AB292" s="139"/>
      <c r="AC292" s="140"/>
      <c r="AD292" s="140"/>
    </row>
    <row r="293" s="119" customFormat="1" ht="48" customHeight="1" outlineLevel="2" spans="1:30">
      <c r="A293" s="162">
        <f t="shared" si="69"/>
        <v>8</v>
      </c>
      <c r="B293" s="165" t="s">
        <v>97</v>
      </c>
      <c r="C293" s="166" t="s">
        <v>98</v>
      </c>
      <c r="D293" s="165" t="s">
        <v>70</v>
      </c>
      <c r="E293" s="143">
        <v>10.71</v>
      </c>
      <c r="F293" s="143">
        <f>$F$22</f>
        <v>22</v>
      </c>
      <c r="G293" s="143">
        <f>$G$22</f>
        <v>58.195</v>
      </c>
      <c r="H293" s="143">
        <f>$H$22</f>
        <v>6.3</v>
      </c>
      <c r="I293" s="17">
        <f t="shared" si="70"/>
        <v>8.6495</v>
      </c>
      <c r="J293" s="18">
        <f t="shared" si="71"/>
        <v>95.14</v>
      </c>
      <c r="K293" s="19">
        <f t="shared" si="72"/>
        <v>1018.95</v>
      </c>
      <c r="L293" s="135"/>
      <c r="M293" s="136"/>
      <c r="N293" s="136"/>
      <c r="O293" s="136"/>
      <c r="P293" s="37">
        <f t="shared" si="73"/>
        <v>86.495</v>
      </c>
      <c r="Q293" s="99">
        <f>$Q$22</f>
        <v>56.5</v>
      </c>
      <c r="R293" s="163">
        <f>$R$22</f>
        <v>0.03</v>
      </c>
      <c r="S293" s="99">
        <f>$S$22</f>
        <v>22</v>
      </c>
      <c r="T293" s="99">
        <f>$T$22</f>
        <v>6</v>
      </c>
      <c r="U293" s="99">
        <f>$U$22</f>
        <v>0.3</v>
      </c>
      <c r="V293" s="37">
        <f t="shared" si="74"/>
        <v>926.36145</v>
      </c>
      <c r="W293" s="139"/>
      <c r="X293" s="139"/>
      <c r="Y293" s="139"/>
      <c r="Z293" s="139"/>
      <c r="AA293" s="139"/>
      <c r="AB293" s="139"/>
      <c r="AC293" s="140"/>
      <c r="AD293" s="140"/>
    </row>
    <row r="294" s="119" customFormat="1" ht="48" customHeight="1" outlineLevel="2" spans="1:30">
      <c r="A294" s="162">
        <f t="shared" si="69"/>
        <v>9</v>
      </c>
      <c r="B294" s="165" t="s">
        <v>99</v>
      </c>
      <c r="C294" s="166" t="s">
        <v>100</v>
      </c>
      <c r="D294" s="165" t="s">
        <v>70</v>
      </c>
      <c r="E294" s="143">
        <v>15.293</v>
      </c>
      <c r="F294" s="143">
        <f>$F$23</f>
        <v>12</v>
      </c>
      <c r="G294" s="143">
        <f>$G$23</f>
        <v>23.4325</v>
      </c>
      <c r="H294" s="143">
        <f>$H$23</f>
        <v>3.8</v>
      </c>
      <c r="I294" s="17">
        <f t="shared" si="70"/>
        <v>3.92325</v>
      </c>
      <c r="J294" s="18">
        <f t="shared" si="71"/>
        <v>43.16</v>
      </c>
      <c r="K294" s="19">
        <f t="shared" si="72"/>
        <v>660.05</v>
      </c>
      <c r="L294" s="135"/>
      <c r="M294" s="136"/>
      <c r="N294" s="136"/>
      <c r="O294" s="136"/>
      <c r="P294" s="37">
        <f t="shared" si="73"/>
        <v>39.2325</v>
      </c>
      <c r="Q294" s="99">
        <f>$Q$23</f>
        <v>22.75</v>
      </c>
      <c r="R294" s="163">
        <f>$R$23</f>
        <v>0.03</v>
      </c>
      <c r="S294" s="99">
        <f>$S$23</f>
        <v>12</v>
      </c>
      <c r="T294" s="99">
        <f>$T$23</f>
        <v>3.5</v>
      </c>
      <c r="U294" s="99">
        <f>$U$23</f>
        <v>0.3</v>
      </c>
      <c r="V294" s="37">
        <f t="shared" si="74"/>
        <v>599.9826225</v>
      </c>
      <c r="W294" s="139"/>
      <c r="X294" s="139"/>
      <c r="Y294" s="139"/>
      <c r="Z294" s="139"/>
      <c r="AA294" s="139"/>
      <c r="AB294" s="139"/>
      <c r="AC294" s="140"/>
      <c r="AD294" s="140"/>
    </row>
    <row r="295" s="119" customFormat="1" ht="24" customHeight="1" outlineLevel="1" spans="1:30">
      <c r="A295" s="141"/>
      <c r="B295" s="14" t="s">
        <v>101</v>
      </c>
      <c r="C295" s="15"/>
      <c r="D295" s="142"/>
      <c r="E295" s="143"/>
      <c r="F295" s="143"/>
      <c r="G295" s="143"/>
      <c r="H295" s="143"/>
      <c r="I295" s="143"/>
      <c r="J295" s="143"/>
      <c r="K295" s="144"/>
      <c r="L295" s="135"/>
      <c r="M295" s="136"/>
      <c r="N295" s="136"/>
      <c r="O295" s="136"/>
      <c r="P295" s="137"/>
      <c r="Q295" s="137"/>
      <c r="R295" s="138"/>
      <c r="S295" s="137"/>
      <c r="T295" s="137"/>
      <c r="U295" s="137"/>
      <c r="V295" s="137"/>
      <c r="W295" s="139"/>
      <c r="X295" s="139"/>
      <c r="Y295" s="139"/>
      <c r="Z295" s="139"/>
      <c r="AA295" s="139"/>
      <c r="AB295" s="139"/>
      <c r="AC295" s="140"/>
      <c r="AD295" s="140"/>
    </row>
    <row r="296" s="119" customFormat="1" ht="96" customHeight="1" outlineLevel="2" spans="1:30">
      <c r="A296" s="162">
        <f>1+N(A295)</f>
        <v>1</v>
      </c>
      <c r="B296" s="14" t="s">
        <v>460</v>
      </c>
      <c r="C296" s="167" t="s">
        <v>103</v>
      </c>
      <c r="D296" s="142" t="s">
        <v>63</v>
      </c>
      <c r="E296" s="143">
        <v>16.922</v>
      </c>
      <c r="F296" s="143">
        <f>$F$25</f>
        <v>70</v>
      </c>
      <c r="G296" s="143">
        <f>$G$25</f>
        <v>0</v>
      </c>
      <c r="H296" s="143">
        <f>$H$25</f>
        <v>66.711</v>
      </c>
      <c r="I296" s="17">
        <f>(F296+G296+H296)*$I$3</f>
        <v>13.6711</v>
      </c>
      <c r="J296" s="18">
        <f>ROUND(SUM(F296:I296),2)</f>
        <v>150.38</v>
      </c>
      <c r="K296" s="19">
        <f>ROUND(J296*E296,2)</f>
        <v>2544.73</v>
      </c>
      <c r="L296" s="135"/>
      <c r="M296" s="136"/>
      <c r="N296" s="136"/>
      <c r="O296" s="136"/>
      <c r="P296" s="37">
        <f>Q296+Q296*R296+S296+T296+U296</f>
        <v>136.711</v>
      </c>
      <c r="Q296" s="99">
        <f>$Q$25</f>
        <v>0</v>
      </c>
      <c r="R296" s="163">
        <f>$R$25</f>
        <v>0.01</v>
      </c>
      <c r="S296" s="99">
        <f>$S$25</f>
        <v>70</v>
      </c>
      <c r="T296" s="99">
        <f>$T$25</f>
        <v>64.711</v>
      </c>
      <c r="U296" s="99">
        <f>$U$25</f>
        <v>2</v>
      </c>
      <c r="V296" s="37">
        <f>P296*E296</f>
        <v>2313.423542</v>
      </c>
      <c r="W296" s="139"/>
      <c r="X296" s="139"/>
      <c r="Y296" s="139"/>
      <c r="Z296" s="139"/>
      <c r="AA296" s="139"/>
      <c r="AB296" s="139"/>
      <c r="AC296" s="140"/>
      <c r="AD296" s="140"/>
    </row>
    <row r="297" s="119" customFormat="1" ht="72" customHeight="1" outlineLevel="2" spans="1:30">
      <c r="A297" s="162">
        <f>1+N(A296)</f>
        <v>2</v>
      </c>
      <c r="B297" s="14" t="s">
        <v>104</v>
      </c>
      <c r="C297" s="167" t="s">
        <v>105</v>
      </c>
      <c r="D297" s="142" t="s">
        <v>70</v>
      </c>
      <c r="E297" s="143">
        <v>14.022</v>
      </c>
      <c r="F297" s="143">
        <f>$F$127</f>
        <v>50</v>
      </c>
      <c r="G297" s="143">
        <f>$G$127</f>
        <v>0</v>
      </c>
      <c r="H297" s="143">
        <f>$H$127</f>
        <v>22.0941</v>
      </c>
      <c r="I297" s="17">
        <f>(F297+G297+H297)*$I$3</f>
        <v>7.20941</v>
      </c>
      <c r="J297" s="18">
        <f>ROUND(SUM(F297:I297),2)</f>
        <v>79.3</v>
      </c>
      <c r="K297" s="19">
        <f>ROUND(J297*E297,2)</f>
        <v>1111.94</v>
      </c>
      <c r="L297" s="135"/>
      <c r="M297" s="136"/>
      <c r="N297" s="136"/>
      <c r="O297" s="136"/>
      <c r="P297" s="37">
        <f>Q297+Q297*R297+S297+T297+U297</f>
        <v>72.0941</v>
      </c>
      <c r="Q297" s="99">
        <f>$Q$127</f>
        <v>0</v>
      </c>
      <c r="R297" s="163">
        <f>$R$127</f>
        <v>0.01</v>
      </c>
      <c r="S297" s="99">
        <f>$S$127</f>
        <v>50</v>
      </c>
      <c r="T297" s="99">
        <f>$T$127</f>
        <v>22.0941</v>
      </c>
      <c r="U297" s="99">
        <f>$U$127</f>
        <v>0</v>
      </c>
      <c r="V297" s="37">
        <f>P297*E297</f>
        <v>1010.9034702</v>
      </c>
      <c r="W297" s="139"/>
      <c r="X297" s="139"/>
      <c r="Y297" s="139"/>
      <c r="Z297" s="139"/>
      <c r="AA297" s="139"/>
      <c r="AB297" s="139"/>
      <c r="AC297" s="140"/>
      <c r="AD297" s="140"/>
    </row>
    <row r="298" s="119" customFormat="1" ht="72" customHeight="1" outlineLevel="2" spans="1:30">
      <c r="A298" s="162">
        <f>1+N(A297)</f>
        <v>3</v>
      </c>
      <c r="B298" s="14" t="s">
        <v>106</v>
      </c>
      <c r="C298" s="15" t="s">
        <v>107</v>
      </c>
      <c r="D298" s="142" t="s">
        <v>70</v>
      </c>
      <c r="E298" s="143">
        <v>14.022</v>
      </c>
      <c r="F298" s="143">
        <f>$F$27</f>
        <v>18</v>
      </c>
      <c r="G298" s="143">
        <f>$G$27</f>
        <v>163.255</v>
      </c>
      <c r="H298" s="143">
        <f>$H$27</f>
        <v>3.8</v>
      </c>
      <c r="I298" s="17">
        <f>(F298+G298+H298)*$I$3</f>
        <v>18.5055</v>
      </c>
      <c r="J298" s="18">
        <f>ROUND(SUM(F298:I298),2)</f>
        <v>203.56</v>
      </c>
      <c r="K298" s="19">
        <f>ROUND(J298*E298,2)</f>
        <v>2854.32</v>
      </c>
      <c r="L298" s="135"/>
      <c r="M298" s="136"/>
      <c r="N298" s="136"/>
      <c r="O298" s="136"/>
      <c r="P298" s="37">
        <f>Q298+Q298*R298+S298+T298+U298</f>
        <v>185.055</v>
      </c>
      <c r="Q298" s="99">
        <f>$Q$27</f>
        <v>158.5</v>
      </c>
      <c r="R298" s="163">
        <f>$R$27</f>
        <v>0.03</v>
      </c>
      <c r="S298" s="99">
        <f>$S$27</f>
        <v>18</v>
      </c>
      <c r="T298" s="99">
        <f>$T$27</f>
        <v>3.5</v>
      </c>
      <c r="U298" s="99">
        <f>$U$27</f>
        <v>0.3</v>
      </c>
      <c r="V298" s="37">
        <f>P298*E298</f>
        <v>2594.84121</v>
      </c>
      <c r="W298" s="139"/>
      <c r="X298" s="139"/>
      <c r="Y298" s="139"/>
      <c r="Z298" s="139"/>
      <c r="AA298" s="139"/>
      <c r="AB298" s="139"/>
      <c r="AC298" s="140"/>
      <c r="AD298" s="140"/>
    </row>
    <row r="299" s="119" customFormat="1" ht="72" customHeight="1" outlineLevel="2" spans="1:30">
      <c r="A299" s="162">
        <f>1+N(A298)</f>
        <v>4</v>
      </c>
      <c r="B299" s="14" t="s">
        <v>108</v>
      </c>
      <c r="C299" s="15" t="s">
        <v>109</v>
      </c>
      <c r="D299" s="142" t="s">
        <v>70</v>
      </c>
      <c r="E299" s="143">
        <f>4.42*2</f>
        <v>8.84</v>
      </c>
      <c r="F299" s="143">
        <f>$F$28</f>
        <v>30</v>
      </c>
      <c r="G299" s="143">
        <f>$G$28</f>
        <v>65.6625</v>
      </c>
      <c r="H299" s="143">
        <f>$H$28</f>
        <v>2.7</v>
      </c>
      <c r="I299" s="17">
        <f>(F299+G299+H299)*$I$3</f>
        <v>9.83625</v>
      </c>
      <c r="J299" s="18">
        <f>ROUND(SUM(F299:I299),2)</f>
        <v>108.2</v>
      </c>
      <c r="K299" s="19">
        <f>ROUND(J299*E299,2)</f>
        <v>956.49</v>
      </c>
      <c r="L299" s="135"/>
      <c r="M299" s="136"/>
      <c r="N299" s="136"/>
      <c r="O299" s="136"/>
      <c r="P299" s="37">
        <f>Q299+Q299*R299+S299+T299+U299</f>
        <v>98.3625</v>
      </c>
      <c r="Q299" s="99">
        <f>$Q$28</f>
        <v>63.75</v>
      </c>
      <c r="R299" s="163">
        <f>$R$28</f>
        <v>0.03</v>
      </c>
      <c r="S299" s="99">
        <f>$S$28</f>
        <v>30</v>
      </c>
      <c r="T299" s="99">
        <f>$T$28</f>
        <v>2.5</v>
      </c>
      <c r="U299" s="99">
        <f>$U$28</f>
        <v>0.2</v>
      </c>
      <c r="V299" s="37">
        <f>P299*E299</f>
        <v>869.5245</v>
      </c>
      <c r="W299" s="139"/>
      <c r="X299" s="139"/>
      <c r="Y299" s="139"/>
      <c r="Z299" s="139"/>
      <c r="AA299" s="139"/>
      <c r="AB299" s="139"/>
      <c r="AC299" s="140"/>
      <c r="AD299" s="140"/>
    </row>
    <row r="300" s="119" customFormat="1" ht="72" customHeight="1" outlineLevel="2" spans="1:30">
      <c r="A300" s="162">
        <f>1+N(A299)</f>
        <v>5</v>
      </c>
      <c r="B300" s="14" t="s">
        <v>110</v>
      </c>
      <c r="C300" s="15" t="s">
        <v>111</v>
      </c>
      <c r="D300" s="142" t="s">
        <v>63</v>
      </c>
      <c r="E300" s="143">
        <v>21.737</v>
      </c>
      <c r="F300" s="143">
        <f>$F$29</f>
        <v>45</v>
      </c>
      <c r="G300" s="143">
        <f>$G$29</f>
        <v>85.5</v>
      </c>
      <c r="H300" s="143">
        <f>$H$29</f>
        <v>7.3</v>
      </c>
      <c r="I300" s="17">
        <f>(F300+G300+H300)*$I$3</f>
        <v>13.78</v>
      </c>
      <c r="J300" s="18">
        <f>ROUND(SUM(F300:I300),2)</f>
        <v>151.58</v>
      </c>
      <c r="K300" s="19">
        <f>ROUND(J300*E300,2)</f>
        <v>3294.89</v>
      </c>
      <c r="L300" s="135"/>
      <c r="M300" s="136"/>
      <c r="N300" s="136"/>
      <c r="O300" s="136"/>
      <c r="P300" s="37">
        <f>Q300+Q300*R300+S300+T300+U300</f>
        <v>137.8</v>
      </c>
      <c r="Q300" s="99">
        <f>$Q$29</f>
        <v>85.5</v>
      </c>
      <c r="R300" s="163">
        <f>$R$29</f>
        <v>0</v>
      </c>
      <c r="S300" s="99">
        <f>$S$29</f>
        <v>45</v>
      </c>
      <c r="T300" s="99">
        <f>$T$29</f>
        <v>6.5</v>
      </c>
      <c r="U300" s="99">
        <f>$U$29</f>
        <v>0.8</v>
      </c>
      <c r="V300" s="37">
        <f>P300*E300</f>
        <v>2995.3586</v>
      </c>
      <c r="W300" s="139"/>
      <c r="X300" s="139"/>
      <c r="Y300" s="139"/>
      <c r="Z300" s="139"/>
      <c r="AA300" s="139"/>
      <c r="AB300" s="139"/>
      <c r="AC300" s="140"/>
      <c r="AD300" s="140"/>
    </row>
    <row r="301" s="119" customFormat="1" ht="24" customHeight="1" outlineLevel="1" spans="1:30">
      <c r="A301" s="141"/>
      <c r="B301" s="14" t="s">
        <v>112</v>
      </c>
      <c r="C301" s="15"/>
      <c r="D301" s="142"/>
      <c r="E301" s="143"/>
      <c r="F301" s="143"/>
      <c r="G301" s="143"/>
      <c r="H301" s="143"/>
      <c r="I301" s="143"/>
      <c r="J301" s="143"/>
      <c r="K301" s="144"/>
      <c r="L301" s="135"/>
      <c r="M301" s="136"/>
      <c r="N301" s="136"/>
      <c r="O301" s="136"/>
      <c r="P301" s="137"/>
      <c r="Q301" s="137"/>
      <c r="R301" s="138"/>
      <c r="S301" s="137"/>
      <c r="T301" s="137"/>
      <c r="U301" s="137"/>
      <c r="V301" s="137"/>
      <c r="W301" s="139"/>
      <c r="X301" s="139"/>
      <c r="Y301" s="139"/>
      <c r="Z301" s="139"/>
      <c r="AA301" s="139"/>
      <c r="AB301" s="139"/>
      <c r="AC301" s="140"/>
      <c r="AD301" s="140"/>
    </row>
    <row r="302" s="2" customFormat="1" ht="24" customHeight="1" spans="1:30">
      <c r="A302" s="8"/>
      <c r="B302" s="8" t="s">
        <v>493</v>
      </c>
      <c r="C302" s="8"/>
      <c r="D302" s="8"/>
      <c r="E302" s="128"/>
      <c r="F302" s="128"/>
      <c r="G302" s="128"/>
      <c r="H302" s="128"/>
      <c r="I302" s="128"/>
      <c r="J302" s="128"/>
      <c r="K302" s="11">
        <f>+K4+K105+K204</f>
        <v>1023301.96</v>
      </c>
      <c r="L302" s="135"/>
      <c r="P302" s="128"/>
      <c r="Q302" s="128"/>
      <c r="R302" s="129"/>
      <c r="S302" s="128"/>
      <c r="T302" s="128"/>
      <c r="U302" s="128"/>
      <c r="V302" s="128"/>
      <c r="W302" s="130"/>
      <c r="X302" s="130"/>
      <c r="Y302" s="130"/>
      <c r="Z302" s="130"/>
      <c r="AA302" s="130"/>
      <c r="AB302" s="130"/>
      <c r="AC302" s="130"/>
      <c r="AD302" s="130"/>
    </row>
  </sheetData>
  <autoFilter xmlns:etc="http://www.wps.cn/officeDocument/2017/etCustomData" ref="A2:V302" etc:filterBottomFollowUsedRange="0">
    <extLst/>
  </autoFilter>
  <mergeCells count="12">
    <mergeCell ref="A1:L1"/>
    <mergeCell ref="A2:A3"/>
    <mergeCell ref="B2:B3"/>
    <mergeCell ref="C2:C3"/>
    <mergeCell ref="D2:D3"/>
    <mergeCell ref="E2:E3"/>
    <mergeCell ref="F2:F3"/>
    <mergeCell ref="G2:G3"/>
    <mergeCell ref="H2:H3"/>
    <mergeCell ref="J2:J3"/>
    <mergeCell ref="K2:K3"/>
    <mergeCell ref="L2:L3"/>
  </mergeCells>
  <conditionalFormatting sqref="B5">
    <cfRule type="duplicateValues" dxfId="0" priority="214"/>
  </conditionalFormatting>
  <conditionalFormatting sqref="C5">
    <cfRule type="duplicateValues" dxfId="0" priority="213"/>
  </conditionalFormatting>
  <conditionalFormatting sqref="B6">
    <cfRule type="duplicateValues" dxfId="0" priority="218"/>
  </conditionalFormatting>
  <conditionalFormatting sqref="B7">
    <cfRule type="duplicateValues" dxfId="0" priority="212"/>
  </conditionalFormatting>
  <conditionalFormatting sqref="B8">
    <cfRule type="duplicateValues" dxfId="0" priority="210"/>
  </conditionalFormatting>
  <conditionalFormatting sqref="B9">
    <cfRule type="duplicateValues" dxfId="0" priority="209"/>
  </conditionalFormatting>
  <conditionalFormatting sqref="B10">
    <cfRule type="duplicateValues" dxfId="0" priority="211"/>
  </conditionalFormatting>
  <conditionalFormatting sqref="B11">
    <cfRule type="duplicateValues" dxfId="0" priority="217"/>
  </conditionalFormatting>
  <conditionalFormatting sqref="B14">
    <cfRule type="duplicateValues" dxfId="0" priority="204"/>
  </conditionalFormatting>
  <conditionalFormatting sqref="B15">
    <cfRule type="duplicateValues" dxfId="0" priority="203"/>
  </conditionalFormatting>
  <conditionalFormatting sqref="B16">
    <cfRule type="duplicateValues" dxfId="0" priority="205"/>
  </conditionalFormatting>
  <conditionalFormatting sqref="B19">
    <cfRule type="duplicateValues" dxfId="0" priority="206"/>
  </conditionalFormatting>
  <conditionalFormatting sqref="B20">
    <cfRule type="duplicateValues" dxfId="0" priority="207"/>
  </conditionalFormatting>
  <conditionalFormatting sqref="B24">
    <cfRule type="duplicateValues" dxfId="0" priority="216"/>
  </conditionalFormatting>
  <conditionalFormatting sqref="B25">
    <cfRule type="duplicateValues" dxfId="0" priority="201"/>
  </conditionalFormatting>
  <conditionalFormatting sqref="B26">
    <cfRule type="duplicateValues" dxfId="0" priority="200"/>
  </conditionalFormatting>
  <conditionalFormatting sqref="B30">
    <cfRule type="duplicateValues" dxfId="0" priority="215"/>
  </conditionalFormatting>
  <conditionalFormatting sqref="B31">
    <cfRule type="duplicateValues" dxfId="0" priority="195"/>
  </conditionalFormatting>
  <conditionalFormatting sqref="C31">
    <cfRule type="duplicateValues" dxfId="0" priority="194"/>
  </conditionalFormatting>
  <conditionalFormatting sqref="B32">
    <cfRule type="duplicateValues" dxfId="0" priority="199"/>
  </conditionalFormatting>
  <conditionalFormatting sqref="B33">
    <cfRule type="duplicateValues" dxfId="0" priority="193"/>
  </conditionalFormatting>
  <conditionalFormatting sqref="B34">
    <cfRule type="duplicateValues" dxfId="0" priority="191"/>
  </conditionalFormatting>
  <conditionalFormatting sqref="B35">
    <cfRule type="duplicateValues" dxfId="0" priority="190"/>
  </conditionalFormatting>
  <conditionalFormatting sqref="B36">
    <cfRule type="duplicateValues" dxfId="0" priority="192"/>
  </conditionalFormatting>
  <conditionalFormatting sqref="B37">
    <cfRule type="duplicateValues" dxfId="0" priority="198"/>
  </conditionalFormatting>
  <conditionalFormatting sqref="B40">
    <cfRule type="duplicateValues" dxfId="0" priority="185"/>
  </conditionalFormatting>
  <conditionalFormatting sqref="B41">
    <cfRule type="duplicateValues" dxfId="0" priority="186"/>
  </conditionalFormatting>
  <conditionalFormatting sqref="B44">
    <cfRule type="duplicateValues" dxfId="0" priority="187"/>
  </conditionalFormatting>
  <conditionalFormatting sqref="B45">
    <cfRule type="duplicateValues" dxfId="0" priority="188"/>
  </conditionalFormatting>
  <conditionalFormatting sqref="B49">
    <cfRule type="duplicateValues" dxfId="0" priority="197"/>
  </conditionalFormatting>
  <conditionalFormatting sqref="B50">
    <cfRule type="duplicateValues" dxfId="0" priority="183"/>
  </conditionalFormatting>
  <conditionalFormatting sqref="B51">
    <cfRule type="duplicateValues" dxfId="0" priority="182"/>
  </conditionalFormatting>
  <conditionalFormatting sqref="B55">
    <cfRule type="duplicateValues" dxfId="0" priority="196"/>
  </conditionalFormatting>
  <conditionalFormatting sqref="B56">
    <cfRule type="duplicateValues" dxfId="0" priority="177"/>
  </conditionalFormatting>
  <conditionalFormatting sqref="C56">
    <cfRule type="duplicateValues" dxfId="0" priority="176"/>
  </conditionalFormatting>
  <conditionalFormatting sqref="B57">
    <cfRule type="duplicateValues" dxfId="0" priority="181"/>
  </conditionalFormatting>
  <conditionalFormatting sqref="B58">
    <cfRule type="duplicateValues" dxfId="0" priority="175"/>
  </conditionalFormatting>
  <conditionalFormatting sqref="B59">
    <cfRule type="duplicateValues" dxfId="0" priority="173"/>
  </conditionalFormatting>
  <conditionalFormatting sqref="B60">
    <cfRule type="duplicateValues" dxfId="0" priority="172"/>
  </conditionalFormatting>
  <conditionalFormatting sqref="B61">
    <cfRule type="duplicateValues" dxfId="0" priority="174"/>
  </conditionalFormatting>
  <conditionalFormatting sqref="B62">
    <cfRule type="duplicateValues" dxfId="0" priority="180"/>
  </conditionalFormatting>
  <conditionalFormatting sqref="B65">
    <cfRule type="duplicateValues" dxfId="0" priority="167"/>
  </conditionalFormatting>
  <conditionalFormatting sqref="B66">
    <cfRule type="duplicateValues" dxfId="0" priority="166"/>
  </conditionalFormatting>
  <conditionalFormatting sqref="B67">
    <cfRule type="duplicateValues" dxfId="0" priority="168"/>
  </conditionalFormatting>
  <conditionalFormatting sqref="B70">
    <cfRule type="duplicateValues" dxfId="0" priority="169"/>
  </conditionalFormatting>
  <conditionalFormatting sqref="B71">
    <cfRule type="duplicateValues" dxfId="0" priority="170"/>
  </conditionalFormatting>
  <conditionalFormatting sqref="B75">
    <cfRule type="duplicateValues" dxfId="0" priority="179"/>
  </conditionalFormatting>
  <conditionalFormatting sqref="B76">
    <cfRule type="duplicateValues" dxfId="0" priority="164"/>
  </conditionalFormatting>
  <conditionalFormatting sqref="B77">
    <cfRule type="duplicateValues" dxfId="0" priority="163"/>
  </conditionalFormatting>
  <conditionalFormatting sqref="B81">
    <cfRule type="duplicateValues" dxfId="0" priority="178"/>
  </conditionalFormatting>
  <conditionalFormatting sqref="B82">
    <cfRule type="duplicateValues" dxfId="0" priority="158"/>
  </conditionalFormatting>
  <conditionalFormatting sqref="C82">
    <cfRule type="duplicateValues" dxfId="0" priority="157"/>
  </conditionalFormatting>
  <conditionalFormatting sqref="B83">
    <cfRule type="duplicateValues" dxfId="0" priority="162"/>
  </conditionalFormatting>
  <conditionalFormatting sqref="B84">
    <cfRule type="duplicateValues" dxfId="0" priority="156"/>
  </conditionalFormatting>
  <conditionalFormatting sqref="B85">
    <cfRule type="duplicateValues" dxfId="0" priority="154"/>
  </conditionalFormatting>
  <conditionalFormatting sqref="B86">
    <cfRule type="duplicateValues" dxfId="0" priority="153"/>
  </conditionalFormatting>
  <conditionalFormatting sqref="B87">
    <cfRule type="duplicateValues" dxfId="0" priority="155"/>
  </conditionalFormatting>
  <conditionalFormatting sqref="B88">
    <cfRule type="duplicateValues" dxfId="0" priority="161"/>
  </conditionalFormatting>
  <conditionalFormatting sqref="B91">
    <cfRule type="duplicateValues" dxfId="0" priority="149"/>
  </conditionalFormatting>
  <conditionalFormatting sqref="B94">
    <cfRule type="duplicateValues" dxfId="0" priority="150"/>
  </conditionalFormatting>
  <conditionalFormatting sqref="B95">
    <cfRule type="duplicateValues" dxfId="0" priority="151"/>
  </conditionalFormatting>
  <conditionalFormatting sqref="B98">
    <cfRule type="duplicateValues" dxfId="0" priority="160"/>
  </conditionalFormatting>
  <conditionalFormatting sqref="B99">
    <cfRule type="duplicateValues" dxfId="0" priority="147"/>
  </conditionalFormatting>
  <conditionalFormatting sqref="B100">
    <cfRule type="duplicateValues" dxfId="0" priority="146"/>
  </conditionalFormatting>
  <conditionalFormatting sqref="B104">
    <cfRule type="duplicateValues" dxfId="0" priority="159"/>
  </conditionalFormatting>
  <conditionalFormatting sqref="B105">
    <cfRule type="duplicateValues" dxfId="0" priority="145"/>
  </conditionalFormatting>
  <conditionalFormatting sqref="B106">
    <cfRule type="duplicateValues" dxfId="0" priority="140"/>
  </conditionalFormatting>
  <conditionalFormatting sqref="C106">
    <cfRule type="duplicateValues" dxfId="0" priority="139"/>
  </conditionalFormatting>
  <conditionalFormatting sqref="B107">
    <cfRule type="duplicateValues" dxfId="0" priority="144"/>
  </conditionalFormatting>
  <conditionalFormatting sqref="B108">
    <cfRule type="duplicateValues" dxfId="0" priority="138"/>
  </conditionalFormatting>
  <conditionalFormatting sqref="B109">
    <cfRule type="duplicateValues" dxfId="0" priority="136"/>
  </conditionalFormatting>
  <conditionalFormatting sqref="B110">
    <cfRule type="duplicateValues" dxfId="0" priority="135"/>
  </conditionalFormatting>
  <conditionalFormatting sqref="B111">
    <cfRule type="duplicateValues" dxfId="0" priority="137"/>
  </conditionalFormatting>
  <conditionalFormatting sqref="B112">
    <cfRule type="duplicateValues" dxfId="0" priority="143"/>
  </conditionalFormatting>
  <conditionalFormatting sqref="B115">
    <cfRule type="duplicateValues" dxfId="0" priority="130"/>
  </conditionalFormatting>
  <conditionalFormatting sqref="B116">
    <cfRule type="duplicateValues" dxfId="0" priority="129"/>
  </conditionalFormatting>
  <conditionalFormatting sqref="B117">
    <cfRule type="duplicateValues" dxfId="0" priority="131"/>
  </conditionalFormatting>
  <conditionalFormatting sqref="B120">
    <cfRule type="duplicateValues" dxfId="0" priority="132"/>
  </conditionalFormatting>
  <conditionalFormatting sqref="B121">
    <cfRule type="duplicateValues" dxfId="0" priority="133"/>
  </conditionalFormatting>
  <conditionalFormatting sqref="B125">
    <cfRule type="duplicateValues" dxfId="0" priority="142"/>
  </conditionalFormatting>
  <conditionalFormatting sqref="B126">
    <cfRule type="duplicateValues" dxfId="0" priority="127"/>
  </conditionalFormatting>
  <conditionalFormatting sqref="B127">
    <cfRule type="duplicateValues" dxfId="0" priority="73"/>
  </conditionalFormatting>
  <conditionalFormatting sqref="B131">
    <cfRule type="duplicateValues" dxfId="0" priority="141"/>
  </conditionalFormatting>
  <conditionalFormatting sqref="B132">
    <cfRule type="duplicateValues" dxfId="0" priority="122"/>
  </conditionalFormatting>
  <conditionalFormatting sqref="C132">
    <cfRule type="duplicateValues" dxfId="0" priority="121"/>
  </conditionalFormatting>
  <conditionalFormatting sqref="B133">
    <cfRule type="duplicateValues" dxfId="0" priority="126"/>
  </conditionalFormatting>
  <conditionalFormatting sqref="B134">
    <cfRule type="duplicateValues" dxfId="0" priority="120"/>
  </conditionalFormatting>
  <conditionalFormatting sqref="B135">
    <cfRule type="duplicateValues" dxfId="0" priority="118"/>
  </conditionalFormatting>
  <conditionalFormatting sqref="B136">
    <cfRule type="duplicateValues" dxfId="0" priority="117"/>
  </conditionalFormatting>
  <conditionalFormatting sqref="B137">
    <cfRule type="duplicateValues" dxfId="0" priority="119"/>
  </conditionalFormatting>
  <conditionalFormatting sqref="B138">
    <cfRule type="duplicateValues" dxfId="0" priority="125"/>
  </conditionalFormatting>
  <conditionalFormatting sqref="B141">
    <cfRule type="duplicateValues" dxfId="0" priority="75"/>
  </conditionalFormatting>
  <conditionalFormatting sqref="B144">
    <cfRule type="duplicateValues" dxfId="0" priority="114"/>
  </conditionalFormatting>
  <conditionalFormatting sqref="B145">
    <cfRule type="duplicateValues" dxfId="0" priority="115"/>
  </conditionalFormatting>
  <conditionalFormatting sqref="B148">
    <cfRule type="duplicateValues" dxfId="0" priority="124"/>
  </conditionalFormatting>
  <conditionalFormatting sqref="B149">
    <cfRule type="duplicateValues" dxfId="0" priority="112"/>
  </conditionalFormatting>
  <conditionalFormatting sqref="B150">
    <cfRule type="duplicateValues" dxfId="0" priority="74"/>
  </conditionalFormatting>
  <conditionalFormatting sqref="B154">
    <cfRule type="duplicateValues" dxfId="0" priority="123"/>
  </conditionalFormatting>
  <conditionalFormatting sqref="B155">
    <cfRule type="duplicateValues" dxfId="0" priority="107"/>
  </conditionalFormatting>
  <conditionalFormatting sqref="C155">
    <cfRule type="duplicateValues" dxfId="0" priority="106"/>
  </conditionalFormatting>
  <conditionalFormatting sqref="B156">
    <cfRule type="duplicateValues" dxfId="0" priority="111"/>
  </conditionalFormatting>
  <conditionalFormatting sqref="B157">
    <cfRule type="duplicateValues" dxfId="0" priority="105"/>
  </conditionalFormatting>
  <conditionalFormatting sqref="B158">
    <cfRule type="duplicateValues" dxfId="0" priority="103"/>
  </conditionalFormatting>
  <conditionalFormatting sqref="B159">
    <cfRule type="duplicateValues" dxfId="0" priority="102"/>
  </conditionalFormatting>
  <conditionalFormatting sqref="B160">
    <cfRule type="duplicateValues" dxfId="0" priority="104"/>
  </conditionalFormatting>
  <conditionalFormatting sqref="B161">
    <cfRule type="duplicateValues" dxfId="0" priority="110"/>
  </conditionalFormatting>
  <conditionalFormatting sqref="B164">
    <cfRule type="duplicateValues" dxfId="0" priority="97"/>
  </conditionalFormatting>
  <conditionalFormatting sqref="B165">
    <cfRule type="duplicateValues" dxfId="0" priority="96"/>
  </conditionalFormatting>
  <conditionalFormatting sqref="B166">
    <cfRule type="duplicateValues" dxfId="0" priority="98"/>
  </conditionalFormatting>
  <conditionalFormatting sqref="B169">
    <cfRule type="duplicateValues" dxfId="0" priority="99"/>
  </conditionalFormatting>
  <conditionalFormatting sqref="B170">
    <cfRule type="duplicateValues" dxfId="0" priority="100"/>
  </conditionalFormatting>
  <conditionalFormatting sqref="B174">
    <cfRule type="duplicateValues" dxfId="0" priority="109"/>
  </conditionalFormatting>
  <conditionalFormatting sqref="B175">
    <cfRule type="duplicateValues" dxfId="0" priority="94"/>
  </conditionalFormatting>
  <conditionalFormatting sqref="B176">
    <cfRule type="duplicateValues" dxfId="0" priority="93"/>
  </conditionalFormatting>
  <conditionalFormatting sqref="B180">
    <cfRule type="duplicateValues" dxfId="0" priority="108"/>
  </conditionalFormatting>
  <conditionalFormatting sqref="B181">
    <cfRule type="duplicateValues" dxfId="0" priority="88"/>
  </conditionalFormatting>
  <conditionalFormatting sqref="C181">
    <cfRule type="duplicateValues" dxfId="0" priority="87"/>
  </conditionalFormatting>
  <conditionalFormatting sqref="B182">
    <cfRule type="duplicateValues" dxfId="0" priority="92"/>
  </conditionalFormatting>
  <conditionalFormatting sqref="B183">
    <cfRule type="duplicateValues" dxfId="0" priority="86"/>
  </conditionalFormatting>
  <conditionalFormatting sqref="B184">
    <cfRule type="duplicateValues" dxfId="0" priority="84"/>
  </conditionalFormatting>
  <conditionalFormatting sqref="B185">
    <cfRule type="duplicateValues" dxfId="0" priority="83"/>
  </conditionalFormatting>
  <conditionalFormatting sqref="B186">
    <cfRule type="duplicateValues" dxfId="0" priority="85"/>
  </conditionalFormatting>
  <conditionalFormatting sqref="B187">
    <cfRule type="duplicateValues" dxfId="0" priority="91"/>
  </conditionalFormatting>
  <conditionalFormatting sqref="B190">
    <cfRule type="duplicateValues" dxfId="0" priority="79"/>
  </conditionalFormatting>
  <conditionalFormatting sqref="B193">
    <cfRule type="duplicateValues" dxfId="0" priority="80"/>
  </conditionalFormatting>
  <conditionalFormatting sqref="B194">
    <cfRule type="duplicateValues" dxfId="0" priority="81"/>
  </conditionalFormatting>
  <conditionalFormatting sqref="B197">
    <cfRule type="duplicateValues" dxfId="0" priority="90"/>
  </conditionalFormatting>
  <conditionalFormatting sqref="B198">
    <cfRule type="duplicateValues" dxfId="0" priority="77"/>
  </conditionalFormatting>
  <conditionalFormatting sqref="B199">
    <cfRule type="duplicateValues" dxfId="0" priority="76"/>
  </conditionalFormatting>
  <conditionalFormatting sqref="B203">
    <cfRule type="duplicateValues" dxfId="0" priority="89"/>
  </conditionalFormatting>
  <conditionalFormatting sqref="B204">
    <cfRule type="duplicateValues" dxfId="0" priority="72"/>
  </conditionalFormatting>
  <conditionalFormatting sqref="B205">
    <cfRule type="duplicateValues" dxfId="0" priority="67"/>
  </conditionalFormatting>
  <conditionalFormatting sqref="C205">
    <cfRule type="duplicateValues" dxfId="0" priority="66"/>
  </conditionalFormatting>
  <conditionalFormatting sqref="B206">
    <cfRule type="duplicateValues" dxfId="0" priority="71"/>
  </conditionalFormatting>
  <conditionalFormatting sqref="B207">
    <cfRule type="duplicateValues" dxfId="0" priority="65"/>
  </conditionalFormatting>
  <conditionalFormatting sqref="B208">
    <cfRule type="duplicateValues" dxfId="0" priority="63"/>
  </conditionalFormatting>
  <conditionalFormatting sqref="B209">
    <cfRule type="duplicateValues" dxfId="0" priority="62"/>
  </conditionalFormatting>
  <conditionalFormatting sqref="B210">
    <cfRule type="duplicateValues" dxfId="0" priority="64"/>
  </conditionalFormatting>
  <conditionalFormatting sqref="B211">
    <cfRule type="duplicateValues" dxfId="0" priority="70"/>
  </conditionalFormatting>
  <conditionalFormatting sqref="B214">
    <cfRule type="duplicateValues" dxfId="0" priority="57"/>
  </conditionalFormatting>
  <conditionalFormatting sqref="B215">
    <cfRule type="duplicateValues" dxfId="0" priority="56"/>
  </conditionalFormatting>
  <conditionalFormatting sqref="B216">
    <cfRule type="duplicateValues" dxfId="0" priority="58"/>
  </conditionalFormatting>
  <conditionalFormatting sqref="B219">
    <cfRule type="duplicateValues" dxfId="0" priority="59"/>
  </conditionalFormatting>
  <conditionalFormatting sqref="B220">
    <cfRule type="duplicateValues" dxfId="0" priority="60"/>
  </conditionalFormatting>
  <conditionalFormatting sqref="B224">
    <cfRule type="duplicateValues" dxfId="0" priority="69"/>
  </conditionalFormatting>
  <conditionalFormatting sqref="B225">
    <cfRule type="duplicateValues" dxfId="0" priority="54"/>
  </conditionalFormatting>
  <conditionalFormatting sqref="B226">
    <cfRule type="duplicateValues" dxfId="0" priority="1"/>
  </conditionalFormatting>
  <conditionalFormatting sqref="B230">
    <cfRule type="duplicateValues" dxfId="0" priority="68"/>
  </conditionalFormatting>
  <conditionalFormatting sqref="B231">
    <cfRule type="duplicateValues" dxfId="0" priority="49"/>
  </conditionalFormatting>
  <conditionalFormatting sqref="C231">
    <cfRule type="duplicateValues" dxfId="0" priority="48"/>
  </conditionalFormatting>
  <conditionalFormatting sqref="B232">
    <cfRule type="duplicateValues" dxfId="0" priority="53"/>
  </conditionalFormatting>
  <conditionalFormatting sqref="B233">
    <cfRule type="duplicateValues" dxfId="0" priority="47"/>
  </conditionalFormatting>
  <conditionalFormatting sqref="B234">
    <cfRule type="duplicateValues" dxfId="0" priority="45"/>
  </conditionalFormatting>
  <conditionalFormatting sqref="B235">
    <cfRule type="duplicateValues" dxfId="0" priority="44"/>
  </conditionalFormatting>
  <conditionalFormatting sqref="B236">
    <cfRule type="duplicateValues" dxfId="0" priority="46"/>
  </conditionalFormatting>
  <conditionalFormatting sqref="B237">
    <cfRule type="duplicateValues" dxfId="0" priority="52"/>
  </conditionalFormatting>
  <conditionalFormatting sqref="B242">
    <cfRule type="duplicateValues" dxfId="0" priority="41"/>
  </conditionalFormatting>
  <conditionalFormatting sqref="B243">
    <cfRule type="duplicateValues" dxfId="0" priority="42"/>
  </conditionalFormatting>
  <conditionalFormatting sqref="B246">
    <cfRule type="duplicateValues" dxfId="0" priority="51"/>
  </conditionalFormatting>
  <conditionalFormatting sqref="B247">
    <cfRule type="duplicateValues" dxfId="0" priority="39"/>
  </conditionalFormatting>
  <conditionalFormatting sqref="B248">
    <cfRule type="duplicateValues" dxfId="0" priority="2"/>
  </conditionalFormatting>
  <conditionalFormatting sqref="B252">
    <cfRule type="duplicateValues" dxfId="0" priority="50"/>
  </conditionalFormatting>
  <conditionalFormatting sqref="B253">
    <cfRule type="duplicateValues" dxfId="0" priority="34"/>
  </conditionalFormatting>
  <conditionalFormatting sqref="C253">
    <cfRule type="duplicateValues" dxfId="0" priority="33"/>
  </conditionalFormatting>
  <conditionalFormatting sqref="B254">
    <cfRule type="duplicateValues" dxfId="0" priority="38"/>
  </conditionalFormatting>
  <conditionalFormatting sqref="B255">
    <cfRule type="duplicateValues" dxfId="0" priority="32"/>
  </conditionalFormatting>
  <conditionalFormatting sqref="B256">
    <cfRule type="duplicateValues" dxfId="0" priority="30"/>
  </conditionalFormatting>
  <conditionalFormatting sqref="B257">
    <cfRule type="duplicateValues" dxfId="0" priority="29"/>
  </conditionalFormatting>
  <conditionalFormatting sqref="B258">
    <cfRule type="duplicateValues" dxfId="0" priority="31"/>
  </conditionalFormatting>
  <conditionalFormatting sqref="B259">
    <cfRule type="duplicateValues" dxfId="0" priority="37"/>
  </conditionalFormatting>
  <conditionalFormatting sqref="B262">
    <cfRule type="duplicateValues" dxfId="0" priority="24"/>
  </conditionalFormatting>
  <conditionalFormatting sqref="B263">
    <cfRule type="duplicateValues" dxfId="0" priority="23"/>
  </conditionalFormatting>
  <conditionalFormatting sqref="B264">
    <cfRule type="duplicateValues" dxfId="0" priority="25"/>
  </conditionalFormatting>
  <conditionalFormatting sqref="B267">
    <cfRule type="duplicateValues" dxfId="0" priority="26"/>
  </conditionalFormatting>
  <conditionalFormatting sqref="B268">
    <cfRule type="duplicateValues" dxfId="0" priority="27"/>
  </conditionalFormatting>
  <conditionalFormatting sqref="B272">
    <cfRule type="duplicateValues" dxfId="0" priority="36"/>
  </conditionalFormatting>
  <conditionalFormatting sqref="B273">
    <cfRule type="duplicateValues" dxfId="0" priority="21"/>
  </conditionalFormatting>
  <conditionalFormatting sqref="B274">
    <cfRule type="duplicateValues" dxfId="0" priority="20"/>
  </conditionalFormatting>
  <conditionalFormatting sqref="B278">
    <cfRule type="duplicateValues" dxfId="0" priority="35"/>
  </conditionalFormatting>
  <conditionalFormatting sqref="B279">
    <cfRule type="duplicateValues" dxfId="0" priority="15"/>
  </conditionalFormatting>
  <conditionalFormatting sqref="C279">
    <cfRule type="duplicateValues" dxfId="0" priority="14"/>
  </conditionalFormatting>
  <conditionalFormatting sqref="B280">
    <cfRule type="duplicateValues" dxfId="0" priority="19"/>
  </conditionalFormatting>
  <conditionalFormatting sqref="B281">
    <cfRule type="duplicateValues" dxfId="0" priority="13"/>
  </conditionalFormatting>
  <conditionalFormatting sqref="B282">
    <cfRule type="duplicateValues" dxfId="0" priority="11"/>
  </conditionalFormatting>
  <conditionalFormatting sqref="B283">
    <cfRule type="duplicateValues" dxfId="0" priority="10"/>
  </conditionalFormatting>
  <conditionalFormatting sqref="B284">
    <cfRule type="duplicateValues" dxfId="0" priority="12"/>
  </conditionalFormatting>
  <conditionalFormatting sqref="B285">
    <cfRule type="duplicateValues" dxfId="0" priority="18"/>
  </conditionalFormatting>
  <conditionalFormatting sqref="B288">
    <cfRule type="duplicateValues" dxfId="0" priority="6"/>
  </conditionalFormatting>
  <conditionalFormatting sqref="B291">
    <cfRule type="duplicateValues" dxfId="0" priority="7"/>
  </conditionalFormatting>
  <conditionalFormatting sqref="B292">
    <cfRule type="duplicateValues" dxfId="0" priority="8"/>
  </conditionalFormatting>
  <conditionalFormatting sqref="B295">
    <cfRule type="duplicateValues" dxfId="0" priority="17"/>
  </conditionalFormatting>
  <conditionalFormatting sqref="B296">
    <cfRule type="duplicateValues" dxfId="0" priority="4"/>
  </conditionalFormatting>
  <conditionalFormatting sqref="B297">
    <cfRule type="duplicateValues" dxfId="0" priority="3"/>
  </conditionalFormatting>
  <conditionalFormatting sqref="B301">
    <cfRule type="duplicateValues" dxfId="0" priority="16"/>
  </conditionalFormatting>
  <conditionalFormatting sqref="B302">
    <cfRule type="duplicateValues" dxfId="0" priority="219"/>
  </conditionalFormatting>
  <conditionalFormatting sqref="B27:B29">
    <cfRule type="duplicateValues" dxfId="0" priority="202"/>
  </conditionalFormatting>
  <conditionalFormatting sqref="B52:B54">
    <cfRule type="duplicateValues" dxfId="0" priority="184"/>
  </conditionalFormatting>
  <conditionalFormatting sqref="B78:B80">
    <cfRule type="duplicateValues" dxfId="0" priority="165"/>
  </conditionalFormatting>
  <conditionalFormatting sqref="B101:B103">
    <cfRule type="duplicateValues" dxfId="0" priority="148"/>
  </conditionalFormatting>
  <conditionalFormatting sqref="B128:B130">
    <cfRule type="duplicateValues" dxfId="0" priority="128"/>
  </conditionalFormatting>
  <conditionalFormatting sqref="B151:B153">
    <cfRule type="duplicateValues" dxfId="0" priority="113"/>
  </conditionalFormatting>
  <conditionalFormatting sqref="B177:B179">
    <cfRule type="duplicateValues" dxfId="0" priority="95"/>
  </conditionalFormatting>
  <conditionalFormatting sqref="B200:B202">
    <cfRule type="duplicateValues" dxfId="0" priority="78"/>
  </conditionalFormatting>
  <conditionalFormatting sqref="B227:B229">
    <cfRule type="duplicateValues" dxfId="0" priority="55"/>
  </conditionalFormatting>
  <conditionalFormatting sqref="B249:B251">
    <cfRule type="duplicateValues" dxfId="0" priority="40"/>
  </conditionalFormatting>
  <conditionalFormatting sqref="B275:B277">
    <cfRule type="duplicateValues" dxfId="0" priority="22"/>
  </conditionalFormatting>
  <conditionalFormatting sqref="B298:B300">
    <cfRule type="duplicateValues" dxfId="0" priority="5"/>
  </conditionalFormatting>
  <conditionalFormatting sqref="B2 B4">
    <cfRule type="duplicateValues" dxfId="0" priority="220"/>
  </conditionalFormatting>
  <conditionalFormatting sqref="B12:B13 B17:B18 B21:B23">
    <cfRule type="duplicateValues" dxfId="0" priority="208"/>
  </conditionalFormatting>
  <conditionalFormatting sqref="B38:B39 B42:B43 B46:B48">
    <cfRule type="duplicateValues" dxfId="0" priority="189"/>
  </conditionalFormatting>
  <conditionalFormatting sqref="B63:B64 B68:B69 B72:B74">
    <cfRule type="duplicateValues" dxfId="0" priority="171"/>
  </conditionalFormatting>
  <conditionalFormatting sqref="B89:B90 B92:B93 B96:B97">
    <cfRule type="duplicateValues" dxfId="0" priority="152"/>
  </conditionalFormatting>
  <conditionalFormatting sqref="B113:B114 B118:B119 B122:B124">
    <cfRule type="duplicateValues" dxfId="0" priority="134"/>
  </conditionalFormatting>
  <conditionalFormatting sqref="B139:B140 B142:B143 B146:B147">
    <cfRule type="duplicateValues" dxfId="0" priority="116"/>
  </conditionalFormatting>
  <conditionalFormatting sqref="B162:B163 B167:B168 B171:B173">
    <cfRule type="duplicateValues" dxfId="0" priority="101"/>
  </conditionalFormatting>
  <conditionalFormatting sqref="B188:B189 B191:B192 B195:B196">
    <cfRule type="duplicateValues" dxfId="0" priority="82"/>
  </conditionalFormatting>
  <conditionalFormatting sqref="B212:B213 B217:B218 B221:B223">
    <cfRule type="duplicateValues" dxfId="0" priority="61"/>
  </conditionalFormatting>
  <conditionalFormatting sqref="B238:B241 B244:B245">
    <cfRule type="duplicateValues" dxfId="0" priority="43"/>
  </conditionalFormatting>
  <conditionalFormatting sqref="B260:B261 B265:B266 B269:B271">
    <cfRule type="duplicateValues" dxfId="0" priority="28"/>
  </conditionalFormatting>
  <conditionalFormatting sqref="B286:B287 B289:B290 B293:B294">
    <cfRule type="duplicateValues" dxfId="0" priority="9"/>
  </conditionalFormatting>
  <printOptions horizontalCentered="1"/>
  <pageMargins left="0.472222222222222" right="0.472222222222222" top="0.590277777777778" bottom="0.590277777777778" header="0.393055555555556" footer="0.393055555555556"/>
  <pageSetup paperSize="9" scale="82" fitToHeight="0" orientation="landscape" blackAndWhite="1" horizontalDpi="600"/>
  <headerFooter>
    <oddFooter>&amp;C第 &amp;P 页，共 &amp;N 页</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BX226"/>
  <sheetViews>
    <sheetView tabSelected="1" view="pageBreakPreview" zoomScaleNormal="100" workbookViewId="0">
      <pane xSplit="4" ySplit="3" topLeftCell="E88" activePane="bottomRight" state="frozen"/>
      <selection/>
      <selection pane="topRight"/>
      <selection pane="bottomLeft"/>
      <selection pane="bottomRight" activeCell="Q92" sqref="Q92"/>
    </sheetView>
  </sheetViews>
  <sheetFormatPr defaultColWidth="8.69166666666667" defaultRowHeight="12"/>
  <cols>
    <col min="1" max="1" width="5.975" style="24" customWidth="1"/>
    <col min="2" max="2" width="19.25" style="25" customWidth="1"/>
    <col min="3" max="3" width="38.125" style="26" customWidth="1"/>
    <col min="4" max="4" width="6.125" style="24" customWidth="1"/>
    <col min="5" max="5" width="10.8666666666667" style="27" customWidth="1"/>
    <col min="6" max="7" width="9.64166666666667" style="28" customWidth="1" outlineLevel="1"/>
    <col min="8" max="8" width="11.675" style="28" customWidth="1" outlineLevel="1"/>
    <col min="9" max="9" width="11" style="29" customWidth="1" outlineLevel="1"/>
    <col min="10" max="10" width="12.0833333333333" style="29" customWidth="1"/>
    <col min="11" max="11" width="16.5666666666667" style="29" customWidth="1"/>
    <col min="12" max="12" width="13.15" style="30" customWidth="1"/>
    <col min="13" max="13" width="8.69166666666667" style="31" customWidth="1"/>
    <col min="14" max="14" width="9.375" style="31" customWidth="1"/>
    <col min="15" max="21" width="8.69166666666667" style="31" customWidth="1"/>
    <col min="22" max="22" width="14.25" style="31" customWidth="1"/>
    <col min="23" max="32" width="8.69166666666667" style="31" customWidth="1"/>
    <col min="33" max="76" width="8.69166666666667" style="32" customWidth="1"/>
    <col min="77" max="235" width="8.69166666666667" style="30" customWidth="1"/>
    <col min="236" max="236" width="14.125" style="30" customWidth="1"/>
    <col min="237" max="16384" width="8.69166666666667" style="30" customWidth="1"/>
  </cols>
  <sheetData>
    <row r="1" s="20" customFormat="1" ht="20.25" customHeight="1" spans="1:76">
      <c r="A1" s="33" t="s">
        <v>528</v>
      </c>
      <c r="B1" s="34"/>
      <c r="C1" s="34"/>
      <c r="D1" s="34"/>
      <c r="E1" s="34"/>
      <c r="F1" s="34"/>
      <c r="G1" s="34"/>
      <c r="H1" s="34"/>
      <c r="I1" s="34"/>
      <c r="J1" s="34"/>
      <c r="K1" s="34"/>
      <c r="L1" s="34"/>
      <c r="M1" s="35"/>
      <c r="N1" s="35"/>
      <c r="O1" s="35"/>
      <c r="P1" s="36"/>
      <c r="Q1" s="37">
        <f>地上装修工程!$Q$1</f>
        <v>1</v>
      </c>
      <c r="R1" s="38"/>
      <c r="S1" s="37">
        <f>地上装修工程!$S$1</f>
        <v>1</v>
      </c>
      <c r="T1" s="37">
        <f>地上装修工程!$T$1</f>
        <v>1</v>
      </c>
      <c r="U1" s="36"/>
      <c r="V1" s="36"/>
      <c r="W1" s="35"/>
      <c r="X1" s="35"/>
      <c r="Y1" s="35"/>
      <c r="Z1" s="35"/>
      <c r="AA1" s="35"/>
      <c r="AB1" s="35"/>
      <c r="AC1" s="35"/>
      <c r="AD1" s="35"/>
      <c r="AE1" s="35"/>
      <c r="AF1" s="35"/>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row>
    <row r="2" s="21" customFormat="1" ht="22.5" customHeight="1" spans="1:76">
      <c r="A2" s="40" t="s">
        <v>17</v>
      </c>
      <c r="B2" s="40" t="s">
        <v>41</v>
      </c>
      <c r="C2" s="40" t="s">
        <v>529</v>
      </c>
      <c r="D2" s="40" t="s">
        <v>530</v>
      </c>
      <c r="E2" s="41" t="s">
        <v>44</v>
      </c>
      <c r="F2" s="42" t="s">
        <v>45</v>
      </c>
      <c r="G2" s="42" t="s">
        <v>46</v>
      </c>
      <c r="H2" s="42" t="s">
        <v>47</v>
      </c>
      <c r="I2" s="42" t="s">
        <v>531</v>
      </c>
      <c r="J2" s="42" t="s">
        <v>532</v>
      </c>
      <c r="K2" s="42" t="s">
        <v>533</v>
      </c>
      <c r="L2" s="43" t="s">
        <v>24</v>
      </c>
      <c r="M2" s="35"/>
      <c r="N2" s="35"/>
      <c r="O2" s="35"/>
      <c r="P2" s="44" t="s">
        <v>52</v>
      </c>
      <c r="Q2" s="36"/>
      <c r="R2" s="36"/>
      <c r="S2" s="36"/>
      <c r="T2" s="36"/>
      <c r="U2" s="36"/>
      <c r="V2" s="36"/>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row>
    <row r="3" s="21" customFormat="1" ht="15" customHeight="1" spans="1:76">
      <c r="A3" s="12"/>
      <c r="B3" s="12"/>
      <c r="C3" s="12"/>
      <c r="D3" s="12"/>
      <c r="E3" s="12"/>
      <c r="F3" s="12"/>
      <c r="G3" s="12"/>
      <c r="H3" s="12"/>
      <c r="I3" s="45">
        <f>地上装修工程!$I$3</f>
        <v>0.1</v>
      </c>
      <c r="J3" s="12"/>
      <c r="K3" s="12"/>
      <c r="L3" s="12"/>
      <c r="M3" s="35"/>
      <c r="N3" s="35"/>
      <c r="O3" s="35"/>
      <c r="P3" s="46" t="s">
        <v>52</v>
      </c>
      <c r="Q3" s="46" t="s">
        <v>46</v>
      </c>
      <c r="R3" s="46" t="s">
        <v>53</v>
      </c>
      <c r="S3" s="46" t="s">
        <v>45</v>
      </c>
      <c r="T3" s="46" t="s">
        <v>54</v>
      </c>
      <c r="U3" s="46" t="s">
        <v>55</v>
      </c>
      <c r="V3" s="46" t="s">
        <v>56</v>
      </c>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row>
    <row r="4" s="22" customFormat="1" ht="25" customHeight="1" spans="1:76">
      <c r="A4" s="47"/>
      <c r="B4" s="48" t="s">
        <v>534</v>
      </c>
      <c r="C4" s="49"/>
      <c r="D4" s="50"/>
      <c r="E4" s="51"/>
      <c r="F4" s="52"/>
      <c r="G4" s="53"/>
      <c r="H4" s="52"/>
      <c r="I4" s="54"/>
      <c r="J4" s="54"/>
      <c r="K4" s="55">
        <f>+K5+K75+K79+K83</f>
        <v>651462.79</v>
      </c>
      <c r="L4" s="56"/>
      <c r="M4" s="57"/>
      <c r="N4" s="57"/>
      <c r="O4" s="57"/>
      <c r="P4" s="58"/>
      <c r="Q4" s="58"/>
      <c r="R4" s="58"/>
      <c r="S4" s="58"/>
      <c r="T4" s="58"/>
      <c r="U4" s="58"/>
      <c r="V4" s="58"/>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row>
    <row r="5" s="22" customFormat="1" ht="20" customHeight="1" outlineLevel="1" spans="1:76">
      <c r="A5" s="47"/>
      <c r="B5" s="59" t="s">
        <v>535</v>
      </c>
      <c r="C5" s="60"/>
      <c r="D5" s="50"/>
      <c r="E5" s="51"/>
      <c r="F5" s="52"/>
      <c r="G5" s="53"/>
      <c r="H5" s="52"/>
      <c r="I5" s="54"/>
      <c r="J5" s="54"/>
      <c r="K5" s="55">
        <f>SUM(K6:K74)</f>
        <v>615008.93</v>
      </c>
      <c r="L5" s="56"/>
      <c r="M5" s="57"/>
      <c r="N5" s="57"/>
      <c r="O5" s="57"/>
      <c r="P5" s="58"/>
      <c r="Q5" s="58"/>
      <c r="R5" s="58"/>
      <c r="S5" s="58"/>
      <c r="T5" s="58"/>
      <c r="U5" s="58"/>
      <c r="V5" s="58"/>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row>
    <row r="6" s="23" customFormat="1" ht="60" customHeight="1" outlineLevel="2" spans="1:76">
      <c r="A6" s="61">
        <f t="shared" ref="A6:A69" si="0">A5+1</f>
        <v>1</v>
      </c>
      <c r="B6" s="62" t="s">
        <v>536</v>
      </c>
      <c r="C6" s="63" t="s">
        <v>537</v>
      </c>
      <c r="D6" s="64" t="s">
        <v>156</v>
      </c>
      <c r="E6" s="65">
        <v>17</v>
      </c>
      <c r="F6" s="66">
        <f t="shared" ref="F6:F69" si="1">S6*$S$1</f>
        <v>18</v>
      </c>
      <c r="G6" s="66">
        <f t="shared" ref="G6:G69" si="2">Q6*(1+R6)*$Q$1</f>
        <v>120</v>
      </c>
      <c r="H6" s="66">
        <f t="shared" ref="H6:H69" si="3">(T6+U6)*$T$1</f>
        <v>1.5</v>
      </c>
      <c r="I6" s="67">
        <f t="shared" ref="I6:I69" si="4">(F6+G6+H6)*$I$3</f>
        <v>13.95</v>
      </c>
      <c r="J6" s="67">
        <f t="shared" ref="J6:J69" si="5">F6+G6+H6+I6</f>
        <v>153.45</v>
      </c>
      <c r="K6" s="68">
        <f t="shared" ref="K6:K69" si="6">ROUND(E6*J6,2)</f>
        <v>2608.65</v>
      </c>
      <c r="L6" s="69" t="s">
        <v>538</v>
      </c>
      <c r="M6" s="70"/>
      <c r="N6" s="70"/>
      <c r="O6" s="70"/>
      <c r="P6" s="37">
        <f t="shared" ref="P6:P69" si="7">Q6+Q6*R6+S6+T6+U6</f>
        <v>139.5</v>
      </c>
      <c r="Q6" s="71">
        <v>120</v>
      </c>
      <c r="R6" s="71">
        <v>0</v>
      </c>
      <c r="S6" s="71">
        <v>18</v>
      </c>
      <c r="T6" s="72">
        <v>1.5</v>
      </c>
      <c r="U6" s="71"/>
      <c r="V6" s="37">
        <f t="shared" ref="V6:V69" si="8">P6*E6</f>
        <v>2371.5</v>
      </c>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row>
    <row r="7" s="23" customFormat="1" ht="60" customHeight="1" outlineLevel="2" spans="1:76">
      <c r="A7" s="61">
        <f t="shared" si="0"/>
        <v>2</v>
      </c>
      <c r="B7" s="62" t="s">
        <v>539</v>
      </c>
      <c r="C7" s="63" t="s">
        <v>540</v>
      </c>
      <c r="D7" s="64" t="s">
        <v>156</v>
      </c>
      <c r="E7" s="65">
        <v>124</v>
      </c>
      <c r="F7" s="66">
        <f t="shared" si="1"/>
        <v>18</v>
      </c>
      <c r="G7" s="66">
        <f t="shared" si="2"/>
        <v>120</v>
      </c>
      <c r="H7" s="66">
        <f t="shared" si="3"/>
        <v>1.5</v>
      </c>
      <c r="I7" s="67">
        <f t="shared" si="4"/>
        <v>13.95</v>
      </c>
      <c r="J7" s="67">
        <f t="shared" si="5"/>
        <v>153.45</v>
      </c>
      <c r="K7" s="68">
        <f t="shared" si="6"/>
        <v>19027.8</v>
      </c>
      <c r="L7" s="69" t="s">
        <v>538</v>
      </c>
      <c r="M7" s="70"/>
      <c r="N7" s="70"/>
      <c r="O7" s="70"/>
      <c r="P7" s="37">
        <f t="shared" si="7"/>
        <v>139.5</v>
      </c>
      <c r="Q7" s="71">
        <v>120</v>
      </c>
      <c r="R7" s="71">
        <v>0</v>
      </c>
      <c r="S7" s="71">
        <v>18</v>
      </c>
      <c r="T7" s="72">
        <v>1.5</v>
      </c>
      <c r="U7" s="71"/>
      <c r="V7" s="37">
        <f t="shared" si="8"/>
        <v>17298</v>
      </c>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row>
    <row r="8" s="23" customFormat="1" ht="60" customHeight="1" outlineLevel="2" spans="1:76">
      <c r="A8" s="61">
        <f t="shared" si="0"/>
        <v>3</v>
      </c>
      <c r="B8" s="62" t="s">
        <v>541</v>
      </c>
      <c r="C8" s="63" t="s">
        <v>542</v>
      </c>
      <c r="D8" s="64" t="s">
        <v>156</v>
      </c>
      <c r="E8" s="65">
        <v>26</v>
      </c>
      <c r="F8" s="66">
        <f t="shared" si="1"/>
        <v>18</v>
      </c>
      <c r="G8" s="66">
        <f t="shared" si="2"/>
        <v>120</v>
      </c>
      <c r="H8" s="66">
        <f t="shared" si="3"/>
        <v>1.5</v>
      </c>
      <c r="I8" s="67">
        <f t="shared" si="4"/>
        <v>13.95</v>
      </c>
      <c r="J8" s="67">
        <f t="shared" si="5"/>
        <v>153.45</v>
      </c>
      <c r="K8" s="68">
        <f t="shared" si="6"/>
        <v>3989.7</v>
      </c>
      <c r="L8" s="69" t="s">
        <v>538</v>
      </c>
      <c r="M8" s="70"/>
      <c r="N8" s="70"/>
      <c r="O8" s="70"/>
      <c r="P8" s="37">
        <f t="shared" si="7"/>
        <v>139.5</v>
      </c>
      <c r="Q8" s="71">
        <v>120</v>
      </c>
      <c r="R8" s="71">
        <v>0</v>
      </c>
      <c r="S8" s="71">
        <v>18</v>
      </c>
      <c r="T8" s="72">
        <v>1.5</v>
      </c>
      <c r="U8" s="71"/>
      <c r="V8" s="37">
        <f t="shared" si="8"/>
        <v>3627</v>
      </c>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row>
    <row r="9" s="23" customFormat="1" ht="60" customHeight="1" outlineLevel="2" spans="1:76">
      <c r="A9" s="61">
        <f t="shared" si="0"/>
        <v>4</v>
      </c>
      <c r="B9" s="62" t="s">
        <v>543</v>
      </c>
      <c r="C9" s="63" t="s">
        <v>544</v>
      </c>
      <c r="D9" s="64" t="s">
        <v>156</v>
      </c>
      <c r="E9" s="65">
        <v>104</v>
      </c>
      <c r="F9" s="66">
        <f t="shared" si="1"/>
        <v>18</v>
      </c>
      <c r="G9" s="66">
        <f t="shared" si="2"/>
        <v>120</v>
      </c>
      <c r="H9" s="66">
        <f t="shared" si="3"/>
        <v>1.5</v>
      </c>
      <c r="I9" s="67">
        <f t="shared" si="4"/>
        <v>13.95</v>
      </c>
      <c r="J9" s="67">
        <f t="shared" si="5"/>
        <v>153.45</v>
      </c>
      <c r="K9" s="68">
        <f t="shared" si="6"/>
        <v>15958.8</v>
      </c>
      <c r="L9" s="69" t="s">
        <v>538</v>
      </c>
      <c r="M9" s="70"/>
      <c r="N9" s="70"/>
      <c r="O9" s="70"/>
      <c r="P9" s="37">
        <f t="shared" si="7"/>
        <v>139.5</v>
      </c>
      <c r="Q9" s="71">
        <v>120</v>
      </c>
      <c r="R9" s="71">
        <v>0</v>
      </c>
      <c r="S9" s="71">
        <v>18</v>
      </c>
      <c r="T9" s="72">
        <v>1.5</v>
      </c>
      <c r="U9" s="71"/>
      <c r="V9" s="37">
        <f t="shared" si="8"/>
        <v>14508</v>
      </c>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row>
    <row r="10" s="23" customFormat="1" ht="60" customHeight="1" outlineLevel="2" spans="1:76">
      <c r="A10" s="61">
        <f t="shared" si="0"/>
        <v>5</v>
      </c>
      <c r="B10" s="62" t="s">
        <v>545</v>
      </c>
      <c r="C10" s="63" t="s">
        <v>546</v>
      </c>
      <c r="D10" s="64" t="s">
        <v>156</v>
      </c>
      <c r="E10" s="65">
        <v>9</v>
      </c>
      <c r="F10" s="66">
        <f t="shared" si="1"/>
        <v>18</v>
      </c>
      <c r="G10" s="66">
        <f t="shared" si="2"/>
        <v>120</v>
      </c>
      <c r="H10" s="66">
        <f t="shared" si="3"/>
        <v>1.5</v>
      </c>
      <c r="I10" s="67">
        <f t="shared" si="4"/>
        <v>13.95</v>
      </c>
      <c r="J10" s="67">
        <f t="shared" si="5"/>
        <v>153.45</v>
      </c>
      <c r="K10" s="68">
        <f t="shared" si="6"/>
        <v>1381.05</v>
      </c>
      <c r="L10" s="69" t="s">
        <v>538</v>
      </c>
      <c r="M10" s="70"/>
      <c r="N10" s="70"/>
      <c r="O10" s="70"/>
      <c r="P10" s="37">
        <f t="shared" si="7"/>
        <v>139.5</v>
      </c>
      <c r="Q10" s="71">
        <v>120</v>
      </c>
      <c r="R10" s="71">
        <v>0</v>
      </c>
      <c r="S10" s="71">
        <v>18</v>
      </c>
      <c r="T10" s="72">
        <v>1.5</v>
      </c>
      <c r="U10" s="71"/>
      <c r="V10" s="37">
        <f t="shared" si="8"/>
        <v>1255.5</v>
      </c>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row>
    <row r="11" s="23" customFormat="1" ht="60" customHeight="1" outlineLevel="2" spans="1:76">
      <c r="A11" s="61">
        <f t="shared" si="0"/>
        <v>6</v>
      </c>
      <c r="B11" s="62" t="s">
        <v>547</v>
      </c>
      <c r="C11" s="63" t="s">
        <v>548</v>
      </c>
      <c r="D11" s="64" t="s">
        <v>156</v>
      </c>
      <c r="E11" s="65">
        <v>96</v>
      </c>
      <c r="F11" s="66">
        <f t="shared" si="1"/>
        <v>18</v>
      </c>
      <c r="G11" s="66">
        <f t="shared" si="2"/>
        <v>120</v>
      </c>
      <c r="H11" s="66">
        <f t="shared" si="3"/>
        <v>1.5</v>
      </c>
      <c r="I11" s="67">
        <f t="shared" si="4"/>
        <v>13.95</v>
      </c>
      <c r="J11" s="67">
        <f t="shared" si="5"/>
        <v>153.45</v>
      </c>
      <c r="K11" s="68">
        <f t="shared" si="6"/>
        <v>14731.2</v>
      </c>
      <c r="L11" s="69" t="s">
        <v>538</v>
      </c>
      <c r="M11" s="70"/>
      <c r="N11" s="70"/>
      <c r="O11" s="70"/>
      <c r="P11" s="37">
        <f t="shared" si="7"/>
        <v>139.5</v>
      </c>
      <c r="Q11" s="71">
        <v>120</v>
      </c>
      <c r="R11" s="71">
        <v>0</v>
      </c>
      <c r="S11" s="71">
        <v>18</v>
      </c>
      <c r="T11" s="72">
        <v>1.5</v>
      </c>
      <c r="U11" s="71"/>
      <c r="V11" s="37">
        <f t="shared" si="8"/>
        <v>13392</v>
      </c>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row>
    <row r="12" s="23" customFormat="1" ht="60" customHeight="1" outlineLevel="2" spans="1:76">
      <c r="A12" s="61">
        <f t="shared" si="0"/>
        <v>7</v>
      </c>
      <c r="B12" s="62" t="s">
        <v>549</v>
      </c>
      <c r="C12" s="63" t="s">
        <v>550</v>
      </c>
      <c r="D12" s="64" t="s">
        <v>156</v>
      </c>
      <c r="E12" s="65">
        <v>24</v>
      </c>
      <c r="F12" s="66">
        <f t="shared" si="1"/>
        <v>18</v>
      </c>
      <c r="G12" s="66">
        <f t="shared" si="2"/>
        <v>120</v>
      </c>
      <c r="H12" s="66">
        <f t="shared" si="3"/>
        <v>1.5</v>
      </c>
      <c r="I12" s="67">
        <f t="shared" si="4"/>
        <v>13.95</v>
      </c>
      <c r="J12" s="67">
        <f t="shared" si="5"/>
        <v>153.45</v>
      </c>
      <c r="K12" s="68">
        <f t="shared" si="6"/>
        <v>3682.8</v>
      </c>
      <c r="L12" s="69" t="s">
        <v>538</v>
      </c>
      <c r="M12" s="70"/>
      <c r="N12" s="70"/>
      <c r="O12" s="70"/>
      <c r="P12" s="37">
        <f t="shared" si="7"/>
        <v>139.5</v>
      </c>
      <c r="Q12" s="71">
        <v>120</v>
      </c>
      <c r="R12" s="71">
        <v>0</v>
      </c>
      <c r="S12" s="71">
        <v>18</v>
      </c>
      <c r="T12" s="72">
        <v>1.5</v>
      </c>
      <c r="U12" s="71"/>
      <c r="V12" s="37">
        <f t="shared" si="8"/>
        <v>3348</v>
      </c>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row>
    <row r="13" s="23" customFormat="1" ht="60" customHeight="1" outlineLevel="2" spans="1:76">
      <c r="A13" s="61">
        <f t="shared" si="0"/>
        <v>8</v>
      </c>
      <c r="B13" s="62" t="s">
        <v>551</v>
      </c>
      <c r="C13" s="63" t="s">
        <v>552</v>
      </c>
      <c r="D13" s="64" t="s">
        <v>156</v>
      </c>
      <c r="E13" s="65">
        <v>12</v>
      </c>
      <c r="F13" s="66">
        <f t="shared" si="1"/>
        <v>18</v>
      </c>
      <c r="G13" s="66">
        <f t="shared" si="2"/>
        <v>120</v>
      </c>
      <c r="H13" s="66">
        <f t="shared" si="3"/>
        <v>1.5</v>
      </c>
      <c r="I13" s="67">
        <f t="shared" si="4"/>
        <v>13.95</v>
      </c>
      <c r="J13" s="67">
        <f t="shared" si="5"/>
        <v>153.45</v>
      </c>
      <c r="K13" s="68">
        <f t="shared" si="6"/>
        <v>1841.4</v>
      </c>
      <c r="L13" s="69" t="s">
        <v>538</v>
      </c>
      <c r="M13" s="70"/>
      <c r="N13" s="70"/>
      <c r="O13" s="70"/>
      <c r="P13" s="37">
        <f t="shared" si="7"/>
        <v>139.5</v>
      </c>
      <c r="Q13" s="71">
        <v>120</v>
      </c>
      <c r="R13" s="71">
        <v>0</v>
      </c>
      <c r="S13" s="71">
        <v>18</v>
      </c>
      <c r="T13" s="72">
        <v>1.5</v>
      </c>
      <c r="U13" s="71"/>
      <c r="V13" s="37">
        <f t="shared" si="8"/>
        <v>1674</v>
      </c>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row>
    <row r="14" s="23" customFormat="1" ht="60" customHeight="1" outlineLevel="2" spans="1:76">
      <c r="A14" s="61">
        <f t="shared" si="0"/>
        <v>9</v>
      </c>
      <c r="B14" s="62" t="s">
        <v>553</v>
      </c>
      <c r="C14" s="63" t="s">
        <v>554</v>
      </c>
      <c r="D14" s="64" t="s">
        <v>156</v>
      </c>
      <c r="E14" s="65">
        <v>6</v>
      </c>
      <c r="F14" s="66">
        <f t="shared" si="1"/>
        <v>35</v>
      </c>
      <c r="G14" s="66">
        <f t="shared" si="2"/>
        <v>145</v>
      </c>
      <c r="H14" s="66">
        <f t="shared" si="3"/>
        <v>1.5</v>
      </c>
      <c r="I14" s="67">
        <f t="shared" si="4"/>
        <v>18.15</v>
      </c>
      <c r="J14" s="67">
        <f t="shared" si="5"/>
        <v>199.65</v>
      </c>
      <c r="K14" s="68">
        <f t="shared" si="6"/>
        <v>1197.9</v>
      </c>
      <c r="L14" s="69" t="s">
        <v>538</v>
      </c>
      <c r="M14" s="70"/>
      <c r="N14" s="70"/>
      <c r="O14" s="70"/>
      <c r="P14" s="37">
        <f t="shared" si="7"/>
        <v>181.5</v>
      </c>
      <c r="Q14" s="71">
        <v>145</v>
      </c>
      <c r="R14" s="71">
        <v>0</v>
      </c>
      <c r="S14" s="73">
        <v>35</v>
      </c>
      <c r="T14" s="72">
        <v>1.5</v>
      </c>
      <c r="U14" s="71"/>
      <c r="V14" s="37">
        <f t="shared" si="8"/>
        <v>1089</v>
      </c>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row>
    <row r="15" s="23" customFormat="1" ht="60" customHeight="1" outlineLevel="2" spans="1:76">
      <c r="A15" s="61">
        <f t="shared" si="0"/>
        <v>10</v>
      </c>
      <c r="B15" s="62" t="s">
        <v>555</v>
      </c>
      <c r="C15" s="63" t="s">
        <v>556</v>
      </c>
      <c r="D15" s="64" t="s">
        <v>156</v>
      </c>
      <c r="E15" s="65">
        <v>8</v>
      </c>
      <c r="F15" s="66">
        <f t="shared" si="1"/>
        <v>35</v>
      </c>
      <c r="G15" s="66">
        <f t="shared" si="2"/>
        <v>145</v>
      </c>
      <c r="H15" s="66">
        <f t="shared" si="3"/>
        <v>1.5</v>
      </c>
      <c r="I15" s="67">
        <f t="shared" si="4"/>
        <v>18.15</v>
      </c>
      <c r="J15" s="67">
        <f t="shared" si="5"/>
        <v>199.65</v>
      </c>
      <c r="K15" s="68">
        <f t="shared" si="6"/>
        <v>1597.2</v>
      </c>
      <c r="L15" s="69" t="s">
        <v>538</v>
      </c>
      <c r="M15" s="70"/>
      <c r="N15" s="70"/>
      <c r="O15" s="70"/>
      <c r="P15" s="37">
        <f t="shared" si="7"/>
        <v>181.5</v>
      </c>
      <c r="Q15" s="71">
        <v>145</v>
      </c>
      <c r="R15" s="71">
        <v>0</v>
      </c>
      <c r="S15" s="73">
        <v>35</v>
      </c>
      <c r="T15" s="72">
        <v>1.5</v>
      </c>
      <c r="U15" s="71"/>
      <c r="V15" s="37">
        <f t="shared" si="8"/>
        <v>1452</v>
      </c>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row>
    <row r="16" s="23" customFormat="1" ht="60" customHeight="1" outlineLevel="2" spans="1:76">
      <c r="A16" s="61">
        <f t="shared" si="0"/>
        <v>11</v>
      </c>
      <c r="B16" s="62" t="s">
        <v>557</v>
      </c>
      <c r="C16" s="63" t="s">
        <v>558</v>
      </c>
      <c r="D16" s="64" t="s">
        <v>156</v>
      </c>
      <c r="E16" s="65">
        <v>6</v>
      </c>
      <c r="F16" s="66">
        <f t="shared" si="1"/>
        <v>35</v>
      </c>
      <c r="G16" s="66">
        <f t="shared" si="2"/>
        <v>145</v>
      </c>
      <c r="H16" s="66">
        <f t="shared" si="3"/>
        <v>1.5</v>
      </c>
      <c r="I16" s="67">
        <f t="shared" si="4"/>
        <v>18.15</v>
      </c>
      <c r="J16" s="67">
        <f t="shared" si="5"/>
        <v>199.65</v>
      </c>
      <c r="K16" s="68">
        <f t="shared" si="6"/>
        <v>1197.9</v>
      </c>
      <c r="L16" s="69" t="s">
        <v>538</v>
      </c>
      <c r="M16" s="70"/>
      <c r="N16" s="70"/>
      <c r="O16" s="70"/>
      <c r="P16" s="37">
        <f t="shared" si="7"/>
        <v>181.5</v>
      </c>
      <c r="Q16" s="71">
        <v>145</v>
      </c>
      <c r="R16" s="71">
        <v>0</v>
      </c>
      <c r="S16" s="73">
        <v>35</v>
      </c>
      <c r="T16" s="72">
        <v>1.5</v>
      </c>
      <c r="U16" s="71"/>
      <c r="V16" s="37">
        <f t="shared" si="8"/>
        <v>1089</v>
      </c>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row>
    <row r="17" s="23" customFormat="1" ht="60" customHeight="1" outlineLevel="2" spans="1:76">
      <c r="A17" s="61">
        <f t="shared" si="0"/>
        <v>12</v>
      </c>
      <c r="B17" s="62" t="s">
        <v>559</v>
      </c>
      <c r="C17" s="63" t="s">
        <v>560</v>
      </c>
      <c r="D17" s="64" t="s">
        <v>156</v>
      </c>
      <c r="E17" s="65">
        <v>25</v>
      </c>
      <c r="F17" s="66">
        <f t="shared" si="1"/>
        <v>35</v>
      </c>
      <c r="G17" s="66">
        <f t="shared" si="2"/>
        <v>145</v>
      </c>
      <c r="H17" s="66">
        <f t="shared" si="3"/>
        <v>1.5</v>
      </c>
      <c r="I17" s="67">
        <f t="shared" si="4"/>
        <v>18.15</v>
      </c>
      <c r="J17" s="67">
        <f t="shared" si="5"/>
        <v>199.65</v>
      </c>
      <c r="K17" s="68">
        <f t="shared" si="6"/>
        <v>4991.25</v>
      </c>
      <c r="L17" s="69" t="s">
        <v>538</v>
      </c>
      <c r="M17" s="70"/>
      <c r="N17" s="70"/>
      <c r="O17" s="70"/>
      <c r="P17" s="37">
        <f t="shared" si="7"/>
        <v>181.5</v>
      </c>
      <c r="Q17" s="71">
        <v>145</v>
      </c>
      <c r="R17" s="71">
        <v>0</v>
      </c>
      <c r="S17" s="73">
        <v>35</v>
      </c>
      <c r="T17" s="72">
        <v>1.5</v>
      </c>
      <c r="U17" s="71"/>
      <c r="V17" s="37">
        <f t="shared" si="8"/>
        <v>4537.5</v>
      </c>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row>
    <row r="18" s="23" customFormat="1" ht="60" customHeight="1" outlineLevel="2" spans="1:76">
      <c r="A18" s="61">
        <f t="shared" si="0"/>
        <v>13</v>
      </c>
      <c r="B18" s="62" t="s">
        <v>561</v>
      </c>
      <c r="C18" s="63" t="s">
        <v>562</v>
      </c>
      <c r="D18" s="64" t="s">
        <v>156</v>
      </c>
      <c r="E18" s="65">
        <v>4</v>
      </c>
      <c r="F18" s="66">
        <f t="shared" si="1"/>
        <v>18</v>
      </c>
      <c r="G18" s="66">
        <f t="shared" si="2"/>
        <v>120</v>
      </c>
      <c r="H18" s="66">
        <f t="shared" si="3"/>
        <v>8</v>
      </c>
      <c r="I18" s="67">
        <f t="shared" si="4"/>
        <v>14.6</v>
      </c>
      <c r="J18" s="67">
        <f t="shared" si="5"/>
        <v>160.6</v>
      </c>
      <c r="K18" s="68">
        <f t="shared" si="6"/>
        <v>642.4</v>
      </c>
      <c r="L18" s="69" t="s">
        <v>538</v>
      </c>
      <c r="M18" s="70"/>
      <c r="N18" s="70"/>
      <c r="O18" s="70"/>
      <c r="P18" s="37">
        <f t="shared" si="7"/>
        <v>146</v>
      </c>
      <c r="Q18" s="71">
        <v>120</v>
      </c>
      <c r="R18" s="71">
        <v>0</v>
      </c>
      <c r="S18" s="71">
        <v>18</v>
      </c>
      <c r="T18" s="71">
        <v>8</v>
      </c>
      <c r="U18" s="71"/>
      <c r="V18" s="37">
        <f t="shared" si="8"/>
        <v>584</v>
      </c>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row>
    <row r="19" s="23" customFormat="1" ht="60" customHeight="1" outlineLevel="2" spans="1:76">
      <c r="A19" s="61">
        <f t="shared" si="0"/>
        <v>14</v>
      </c>
      <c r="B19" s="62" t="s">
        <v>563</v>
      </c>
      <c r="C19" s="63" t="s">
        <v>564</v>
      </c>
      <c r="D19" s="64" t="s">
        <v>156</v>
      </c>
      <c r="E19" s="65">
        <v>4</v>
      </c>
      <c r="F19" s="66">
        <f t="shared" si="1"/>
        <v>35</v>
      </c>
      <c r="G19" s="66">
        <f t="shared" si="2"/>
        <v>110</v>
      </c>
      <c r="H19" s="66">
        <f t="shared" si="3"/>
        <v>1.5</v>
      </c>
      <c r="I19" s="67">
        <f t="shared" si="4"/>
        <v>14.65</v>
      </c>
      <c r="J19" s="67">
        <f t="shared" si="5"/>
        <v>161.15</v>
      </c>
      <c r="K19" s="68">
        <f t="shared" si="6"/>
        <v>644.6</v>
      </c>
      <c r="L19" s="69" t="s">
        <v>538</v>
      </c>
      <c r="M19" s="70"/>
      <c r="N19" s="70"/>
      <c r="O19" s="70"/>
      <c r="P19" s="37">
        <f t="shared" si="7"/>
        <v>146.5</v>
      </c>
      <c r="Q19" s="74">
        <v>110</v>
      </c>
      <c r="R19" s="75">
        <v>0</v>
      </c>
      <c r="S19" s="73">
        <v>35</v>
      </c>
      <c r="T19" s="72">
        <v>1.5</v>
      </c>
      <c r="U19" s="72"/>
      <c r="V19" s="37">
        <f t="shared" si="8"/>
        <v>586</v>
      </c>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row>
    <row r="20" s="23" customFormat="1" ht="60" customHeight="1" outlineLevel="2" spans="1:76">
      <c r="A20" s="61">
        <f t="shared" si="0"/>
        <v>15</v>
      </c>
      <c r="B20" s="62" t="s">
        <v>565</v>
      </c>
      <c r="C20" s="63" t="s">
        <v>566</v>
      </c>
      <c r="D20" s="64" t="s">
        <v>156</v>
      </c>
      <c r="E20" s="65">
        <v>9</v>
      </c>
      <c r="F20" s="66">
        <f t="shared" si="1"/>
        <v>18</v>
      </c>
      <c r="G20" s="66">
        <f t="shared" si="2"/>
        <v>75</v>
      </c>
      <c r="H20" s="66">
        <f t="shared" si="3"/>
        <v>1.5</v>
      </c>
      <c r="I20" s="67">
        <f t="shared" si="4"/>
        <v>9.45</v>
      </c>
      <c r="J20" s="67">
        <f t="shared" si="5"/>
        <v>103.95</v>
      </c>
      <c r="K20" s="68">
        <f t="shared" si="6"/>
        <v>935.55</v>
      </c>
      <c r="L20" s="69" t="s">
        <v>538</v>
      </c>
      <c r="M20" s="70"/>
      <c r="N20" s="70"/>
      <c r="O20" s="70"/>
      <c r="P20" s="37">
        <f t="shared" si="7"/>
        <v>94.5</v>
      </c>
      <c r="Q20" s="71">
        <v>75</v>
      </c>
      <c r="R20" s="71">
        <v>0</v>
      </c>
      <c r="S20" s="71">
        <v>18</v>
      </c>
      <c r="T20" s="72">
        <v>1.5</v>
      </c>
      <c r="U20" s="71"/>
      <c r="V20" s="37">
        <f t="shared" si="8"/>
        <v>850.5</v>
      </c>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row>
    <row r="21" s="23" customFormat="1" ht="60" customHeight="1" outlineLevel="2" spans="1:76">
      <c r="A21" s="61">
        <f t="shared" si="0"/>
        <v>16</v>
      </c>
      <c r="B21" s="62" t="s">
        <v>567</v>
      </c>
      <c r="C21" s="63" t="s">
        <v>568</v>
      </c>
      <c r="D21" s="64" t="s">
        <v>156</v>
      </c>
      <c r="E21" s="65">
        <v>8</v>
      </c>
      <c r="F21" s="66">
        <f t="shared" si="1"/>
        <v>18</v>
      </c>
      <c r="G21" s="66">
        <f t="shared" si="2"/>
        <v>120</v>
      </c>
      <c r="H21" s="66">
        <f t="shared" si="3"/>
        <v>1.5</v>
      </c>
      <c r="I21" s="67">
        <f t="shared" si="4"/>
        <v>13.95</v>
      </c>
      <c r="J21" s="67">
        <f t="shared" si="5"/>
        <v>153.45</v>
      </c>
      <c r="K21" s="68">
        <f t="shared" si="6"/>
        <v>1227.6</v>
      </c>
      <c r="L21" s="69" t="s">
        <v>538</v>
      </c>
      <c r="M21" s="70"/>
      <c r="N21" s="70"/>
      <c r="O21" s="70"/>
      <c r="P21" s="37">
        <f t="shared" si="7"/>
        <v>139.5</v>
      </c>
      <c r="Q21" s="71">
        <v>120</v>
      </c>
      <c r="R21" s="71">
        <v>0</v>
      </c>
      <c r="S21" s="71">
        <v>18</v>
      </c>
      <c r="T21" s="72">
        <v>1.5</v>
      </c>
      <c r="U21" s="71"/>
      <c r="V21" s="37">
        <f t="shared" si="8"/>
        <v>1116</v>
      </c>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row>
    <row r="22" s="23" customFormat="1" ht="60" customHeight="1" outlineLevel="2" spans="1:76">
      <c r="A22" s="61">
        <f t="shared" si="0"/>
        <v>17</v>
      </c>
      <c r="B22" s="62" t="s">
        <v>569</v>
      </c>
      <c r="C22" s="63" t="s">
        <v>570</v>
      </c>
      <c r="D22" s="64" t="s">
        <v>156</v>
      </c>
      <c r="E22" s="65">
        <v>34</v>
      </c>
      <c r="F22" s="66">
        <f t="shared" si="1"/>
        <v>18</v>
      </c>
      <c r="G22" s="66">
        <f t="shared" si="2"/>
        <v>120</v>
      </c>
      <c r="H22" s="66">
        <f t="shared" si="3"/>
        <v>1.5</v>
      </c>
      <c r="I22" s="67">
        <f t="shared" si="4"/>
        <v>13.95</v>
      </c>
      <c r="J22" s="67">
        <f t="shared" si="5"/>
        <v>153.45</v>
      </c>
      <c r="K22" s="68">
        <f t="shared" si="6"/>
        <v>5217.3</v>
      </c>
      <c r="L22" s="69" t="s">
        <v>538</v>
      </c>
      <c r="M22" s="70"/>
      <c r="N22" s="70"/>
      <c r="O22" s="70"/>
      <c r="P22" s="37">
        <f t="shared" si="7"/>
        <v>139.5</v>
      </c>
      <c r="Q22" s="71">
        <v>120</v>
      </c>
      <c r="R22" s="71">
        <v>0</v>
      </c>
      <c r="S22" s="71">
        <v>18</v>
      </c>
      <c r="T22" s="72">
        <v>1.5</v>
      </c>
      <c r="U22" s="71"/>
      <c r="V22" s="37">
        <f t="shared" si="8"/>
        <v>4743</v>
      </c>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row>
    <row r="23" s="23" customFormat="1" ht="60" customHeight="1" outlineLevel="2" spans="1:76">
      <c r="A23" s="61">
        <f t="shared" si="0"/>
        <v>18</v>
      </c>
      <c r="B23" s="62" t="s">
        <v>571</v>
      </c>
      <c r="C23" s="63" t="s">
        <v>572</v>
      </c>
      <c r="D23" s="64" t="s">
        <v>156</v>
      </c>
      <c r="E23" s="65">
        <v>82</v>
      </c>
      <c r="F23" s="66">
        <f t="shared" si="1"/>
        <v>18</v>
      </c>
      <c r="G23" s="66">
        <f t="shared" si="2"/>
        <v>120</v>
      </c>
      <c r="H23" s="66">
        <f t="shared" si="3"/>
        <v>1.5</v>
      </c>
      <c r="I23" s="67">
        <f t="shared" si="4"/>
        <v>13.95</v>
      </c>
      <c r="J23" s="67">
        <f t="shared" si="5"/>
        <v>153.45</v>
      </c>
      <c r="K23" s="68">
        <f t="shared" si="6"/>
        <v>12582.9</v>
      </c>
      <c r="L23" s="69" t="s">
        <v>538</v>
      </c>
      <c r="M23" s="70"/>
      <c r="N23" s="70"/>
      <c r="O23" s="70"/>
      <c r="P23" s="37">
        <f t="shared" si="7"/>
        <v>139.5</v>
      </c>
      <c r="Q23" s="71">
        <v>120</v>
      </c>
      <c r="R23" s="71">
        <v>0</v>
      </c>
      <c r="S23" s="71">
        <v>18</v>
      </c>
      <c r="T23" s="72">
        <v>1.5</v>
      </c>
      <c r="U23" s="71"/>
      <c r="V23" s="37">
        <f t="shared" si="8"/>
        <v>11439</v>
      </c>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row>
    <row r="24" s="23" customFormat="1" ht="60" customHeight="1" outlineLevel="2" spans="1:76">
      <c r="A24" s="61">
        <f t="shared" si="0"/>
        <v>19</v>
      </c>
      <c r="B24" s="62" t="s">
        <v>573</v>
      </c>
      <c r="C24" s="63" t="s">
        <v>574</v>
      </c>
      <c r="D24" s="64" t="s">
        <v>156</v>
      </c>
      <c r="E24" s="65">
        <v>5</v>
      </c>
      <c r="F24" s="66">
        <f t="shared" si="1"/>
        <v>18</v>
      </c>
      <c r="G24" s="66">
        <f t="shared" si="2"/>
        <v>120</v>
      </c>
      <c r="H24" s="66">
        <f t="shared" si="3"/>
        <v>1.5</v>
      </c>
      <c r="I24" s="67">
        <f t="shared" si="4"/>
        <v>13.95</v>
      </c>
      <c r="J24" s="67">
        <f t="shared" si="5"/>
        <v>153.45</v>
      </c>
      <c r="K24" s="68">
        <f t="shared" si="6"/>
        <v>767.25</v>
      </c>
      <c r="L24" s="69" t="s">
        <v>538</v>
      </c>
      <c r="M24" s="70"/>
      <c r="N24" s="70"/>
      <c r="O24" s="70"/>
      <c r="P24" s="37">
        <f t="shared" si="7"/>
        <v>139.5</v>
      </c>
      <c r="Q24" s="71">
        <v>120</v>
      </c>
      <c r="R24" s="71">
        <v>0</v>
      </c>
      <c r="S24" s="71">
        <v>18</v>
      </c>
      <c r="T24" s="72">
        <v>1.5</v>
      </c>
      <c r="U24" s="71"/>
      <c r="V24" s="37">
        <f t="shared" si="8"/>
        <v>697.5</v>
      </c>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row>
    <row r="25" s="23" customFormat="1" ht="60" customHeight="1" outlineLevel="2" spans="1:76">
      <c r="A25" s="61">
        <f t="shared" si="0"/>
        <v>20</v>
      </c>
      <c r="B25" s="62" t="s">
        <v>575</v>
      </c>
      <c r="C25" s="63" t="s">
        <v>576</v>
      </c>
      <c r="D25" s="64" t="s">
        <v>156</v>
      </c>
      <c r="E25" s="65">
        <v>18</v>
      </c>
      <c r="F25" s="66">
        <f t="shared" si="1"/>
        <v>18</v>
      </c>
      <c r="G25" s="66">
        <f t="shared" si="2"/>
        <v>120</v>
      </c>
      <c r="H25" s="66">
        <f t="shared" si="3"/>
        <v>1.5</v>
      </c>
      <c r="I25" s="67">
        <f t="shared" si="4"/>
        <v>13.95</v>
      </c>
      <c r="J25" s="67">
        <f t="shared" si="5"/>
        <v>153.45</v>
      </c>
      <c r="K25" s="68">
        <f t="shared" si="6"/>
        <v>2762.1</v>
      </c>
      <c r="L25" s="69" t="s">
        <v>538</v>
      </c>
      <c r="M25" s="70"/>
      <c r="N25" s="70"/>
      <c r="O25" s="70"/>
      <c r="P25" s="37">
        <f t="shared" si="7"/>
        <v>139.5</v>
      </c>
      <c r="Q25" s="71">
        <v>120</v>
      </c>
      <c r="R25" s="71">
        <v>0</v>
      </c>
      <c r="S25" s="71">
        <v>18</v>
      </c>
      <c r="T25" s="72">
        <v>1.5</v>
      </c>
      <c r="U25" s="71"/>
      <c r="V25" s="37">
        <f t="shared" si="8"/>
        <v>2511</v>
      </c>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row>
    <row r="26" s="23" customFormat="1" ht="60" customHeight="1" outlineLevel="2" spans="1:76">
      <c r="A26" s="61">
        <f t="shared" si="0"/>
        <v>21</v>
      </c>
      <c r="B26" s="62" t="s">
        <v>577</v>
      </c>
      <c r="C26" s="63" t="s">
        <v>578</v>
      </c>
      <c r="D26" s="64" t="s">
        <v>156</v>
      </c>
      <c r="E26" s="65">
        <v>2</v>
      </c>
      <c r="F26" s="66">
        <f t="shared" si="1"/>
        <v>35</v>
      </c>
      <c r="G26" s="66">
        <f t="shared" si="2"/>
        <v>145</v>
      </c>
      <c r="H26" s="66">
        <f t="shared" si="3"/>
        <v>1.5</v>
      </c>
      <c r="I26" s="67">
        <f t="shared" si="4"/>
        <v>18.15</v>
      </c>
      <c r="J26" s="67">
        <f t="shared" si="5"/>
        <v>199.65</v>
      </c>
      <c r="K26" s="68">
        <f t="shared" si="6"/>
        <v>399.3</v>
      </c>
      <c r="L26" s="69" t="s">
        <v>538</v>
      </c>
      <c r="M26" s="70"/>
      <c r="N26" s="70"/>
      <c r="O26" s="70"/>
      <c r="P26" s="37">
        <f t="shared" si="7"/>
        <v>181.5</v>
      </c>
      <c r="Q26" s="71">
        <v>145</v>
      </c>
      <c r="R26" s="71">
        <v>0</v>
      </c>
      <c r="S26" s="73">
        <v>35</v>
      </c>
      <c r="T26" s="72">
        <v>1.5</v>
      </c>
      <c r="U26" s="71"/>
      <c r="V26" s="37">
        <f t="shared" si="8"/>
        <v>363</v>
      </c>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row>
    <row r="27" s="23" customFormat="1" ht="60" customHeight="1" outlineLevel="2" spans="1:76">
      <c r="A27" s="61">
        <f t="shared" si="0"/>
        <v>22</v>
      </c>
      <c r="B27" s="62" t="s">
        <v>579</v>
      </c>
      <c r="C27" s="63" t="s">
        <v>580</v>
      </c>
      <c r="D27" s="64" t="s">
        <v>156</v>
      </c>
      <c r="E27" s="65">
        <v>6</v>
      </c>
      <c r="F27" s="66">
        <f t="shared" si="1"/>
        <v>35</v>
      </c>
      <c r="G27" s="66">
        <f t="shared" si="2"/>
        <v>165</v>
      </c>
      <c r="H27" s="66">
        <f t="shared" si="3"/>
        <v>1.5</v>
      </c>
      <c r="I27" s="67">
        <f t="shared" si="4"/>
        <v>20.15</v>
      </c>
      <c r="J27" s="67">
        <f t="shared" si="5"/>
        <v>221.65</v>
      </c>
      <c r="K27" s="68">
        <f t="shared" si="6"/>
        <v>1329.9</v>
      </c>
      <c r="L27" s="69" t="s">
        <v>538</v>
      </c>
      <c r="M27" s="70"/>
      <c r="N27" s="70"/>
      <c r="O27" s="70"/>
      <c r="P27" s="37">
        <f t="shared" si="7"/>
        <v>201.5</v>
      </c>
      <c r="Q27" s="71">
        <v>165</v>
      </c>
      <c r="R27" s="71">
        <v>0</v>
      </c>
      <c r="S27" s="73">
        <v>35</v>
      </c>
      <c r="T27" s="72">
        <v>1.5</v>
      </c>
      <c r="U27" s="71"/>
      <c r="V27" s="37">
        <f t="shared" si="8"/>
        <v>1209</v>
      </c>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row>
    <row r="28" s="23" customFormat="1" ht="72" customHeight="1" outlineLevel="2" spans="1:76">
      <c r="A28" s="61">
        <f t="shared" si="0"/>
        <v>23</v>
      </c>
      <c r="B28" s="62" t="s">
        <v>581</v>
      </c>
      <c r="C28" s="63" t="s">
        <v>582</v>
      </c>
      <c r="D28" s="64" t="s">
        <v>70</v>
      </c>
      <c r="E28" s="65">
        <v>106.7</v>
      </c>
      <c r="F28" s="66">
        <f t="shared" si="1"/>
        <v>18</v>
      </c>
      <c r="G28" s="66">
        <f t="shared" si="2"/>
        <v>115</v>
      </c>
      <c r="H28" s="66">
        <f t="shared" si="3"/>
        <v>1.5</v>
      </c>
      <c r="I28" s="67">
        <f t="shared" si="4"/>
        <v>13.45</v>
      </c>
      <c r="J28" s="67">
        <f t="shared" si="5"/>
        <v>147.95</v>
      </c>
      <c r="K28" s="68">
        <f t="shared" si="6"/>
        <v>15786.27</v>
      </c>
      <c r="L28" s="69" t="s">
        <v>538</v>
      </c>
      <c r="M28" s="70"/>
      <c r="N28" s="70"/>
      <c r="O28" s="70"/>
      <c r="P28" s="37">
        <f t="shared" si="7"/>
        <v>134.5</v>
      </c>
      <c r="Q28" s="74">
        <v>115</v>
      </c>
      <c r="R28" s="71">
        <v>0</v>
      </c>
      <c r="S28" s="73">
        <v>18</v>
      </c>
      <c r="T28" s="72">
        <v>1.5</v>
      </c>
      <c r="U28" s="71"/>
      <c r="V28" s="37">
        <f t="shared" si="8"/>
        <v>14351.15</v>
      </c>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row>
    <row r="29" s="23" customFormat="1" ht="72" customHeight="1" outlineLevel="2" spans="1:76">
      <c r="A29" s="61">
        <f t="shared" si="0"/>
        <v>24</v>
      </c>
      <c r="B29" s="62" t="s">
        <v>583</v>
      </c>
      <c r="C29" s="63" t="s">
        <v>584</v>
      </c>
      <c r="D29" s="64" t="s">
        <v>70</v>
      </c>
      <c r="E29" s="65">
        <v>24.4</v>
      </c>
      <c r="F29" s="66">
        <f t="shared" si="1"/>
        <v>18</v>
      </c>
      <c r="G29" s="66">
        <f t="shared" si="2"/>
        <v>145</v>
      </c>
      <c r="H29" s="66">
        <f t="shared" si="3"/>
        <v>1.5</v>
      </c>
      <c r="I29" s="67">
        <f t="shared" si="4"/>
        <v>16.45</v>
      </c>
      <c r="J29" s="67">
        <f t="shared" si="5"/>
        <v>180.95</v>
      </c>
      <c r="K29" s="68">
        <f t="shared" si="6"/>
        <v>4415.18</v>
      </c>
      <c r="L29" s="69" t="s">
        <v>538</v>
      </c>
      <c r="M29" s="70"/>
      <c r="N29" s="70"/>
      <c r="O29" s="70"/>
      <c r="P29" s="37">
        <f t="shared" si="7"/>
        <v>164.5</v>
      </c>
      <c r="Q29" s="74">
        <v>145</v>
      </c>
      <c r="R29" s="71">
        <v>0</v>
      </c>
      <c r="S29" s="73">
        <v>18</v>
      </c>
      <c r="T29" s="72">
        <v>1.5</v>
      </c>
      <c r="U29" s="71"/>
      <c r="V29" s="37">
        <f t="shared" si="8"/>
        <v>4013.8</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row>
    <row r="30" s="23" customFormat="1" ht="72" customHeight="1" outlineLevel="2" spans="1:76">
      <c r="A30" s="61">
        <f t="shared" si="0"/>
        <v>25</v>
      </c>
      <c r="B30" s="62" t="s">
        <v>585</v>
      </c>
      <c r="C30" s="63" t="s">
        <v>586</v>
      </c>
      <c r="D30" s="64" t="s">
        <v>70</v>
      </c>
      <c r="E30" s="65">
        <v>207.488</v>
      </c>
      <c r="F30" s="66">
        <f t="shared" si="1"/>
        <v>18</v>
      </c>
      <c r="G30" s="66">
        <f t="shared" si="2"/>
        <v>145</v>
      </c>
      <c r="H30" s="66">
        <f t="shared" si="3"/>
        <v>1.5</v>
      </c>
      <c r="I30" s="67">
        <f t="shared" si="4"/>
        <v>16.45</v>
      </c>
      <c r="J30" s="67">
        <f t="shared" si="5"/>
        <v>180.95</v>
      </c>
      <c r="K30" s="68">
        <f t="shared" si="6"/>
        <v>37544.95</v>
      </c>
      <c r="L30" s="69" t="s">
        <v>538</v>
      </c>
      <c r="M30" s="70"/>
      <c r="N30" s="70"/>
      <c r="O30" s="70"/>
      <c r="P30" s="37">
        <f t="shared" si="7"/>
        <v>164.5</v>
      </c>
      <c r="Q30" s="74">
        <v>145</v>
      </c>
      <c r="R30" s="71">
        <v>0</v>
      </c>
      <c r="S30" s="73">
        <v>18</v>
      </c>
      <c r="T30" s="72">
        <v>1.5</v>
      </c>
      <c r="U30" s="71"/>
      <c r="V30" s="37">
        <f t="shared" si="8"/>
        <v>34131.776</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row>
    <row r="31" s="23" customFormat="1" ht="72" customHeight="1" outlineLevel="2" spans="1:76">
      <c r="A31" s="61">
        <f t="shared" si="0"/>
        <v>26</v>
      </c>
      <c r="B31" s="62" t="s">
        <v>587</v>
      </c>
      <c r="C31" s="63" t="s">
        <v>588</v>
      </c>
      <c r="D31" s="64" t="s">
        <v>70</v>
      </c>
      <c r="E31" s="65">
        <v>65.306</v>
      </c>
      <c r="F31" s="66">
        <f t="shared" si="1"/>
        <v>8</v>
      </c>
      <c r="G31" s="66">
        <f t="shared" si="2"/>
        <v>22</v>
      </c>
      <c r="H31" s="66">
        <f t="shared" si="3"/>
        <v>0.5</v>
      </c>
      <c r="I31" s="67">
        <f t="shared" si="4"/>
        <v>3.05</v>
      </c>
      <c r="J31" s="67">
        <f t="shared" si="5"/>
        <v>33.55</v>
      </c>
      <c r="K31" s="68">
        <f t="shared" si="6"/>
        <v>2191.02</v>
      </c>
      <c r="L31" s="69" t="s">
        <v>538</v>
      </c>
      <c r="M31" s="70"/>
      <c r="N31" s="70"/>
      <c r="O31" s="70"/>
      <c r="P31" s="37">
        <f t="shared" si="7"/>
        <v>30.5</v>
      </c>
      <c r="Q31" s="76">
        <v>22</v>
      </c>
      <c r="R31" s="71">
        <v>0</v>
      </c>
      <c r="S31" s="76">
        <v>8</v>
      </c>
      <c r="T31" s="76">
        <v>0.5</v>
      </c>
      <c r="U31" s="71"/>
      <c r="V31" s="37">
        <f t="shared" si="8"/>
        <v>1991.833</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row>
    <row r="32" s="23" customFormat="1" ht="72" customHeight="1" outlineLevel="2" spans="1:76">
      <c r="A32" s="61">
        <f t="shared" si="0"/>
        <v>27</v>
      </c>
      <c r="B32" s="62" t="s">
        <v>589</v>
      </c>
      <c r="C32" s="63" t="s">
        <v>590</v>
      </c>
      <c r="D32" s="64" t="s">
        <v>70</v>
      </c>
      <c r="E32" s="65">
        <v>103.2</v>
      </c>
      <c r="F32" s="66">
        <f t="shared" si="1"/>
        <v>8</v>
      </c>
      <c r="G32" s="66">
        <f t="shared" si="2"/>
        <v>35</v>
      </c>
      <c r="H32" s="66">
        <f t="shared" si="3"/>
        <v>0.5</v>
      </c>
      <c r="I32" s="67">
        <f t="shared" si="4"/>
        <v>4.35</v>
      </c>
      <c r="J32" s="67">
        <f t="shared" si="5"/>
        <v>47.85</v>
      </c>
      <c r="K32" s="68">
        <f t="shared" si="6"/>
        <v>4938.12</v>
      </c>
      <c r="L32" s="69" t="s">
        <v>538</v>
      </c>
      <c r="M32" s="70"/>
      <c r="N32" s="70"/>
      <c r="O32" s="70"/>
      <c r="P32" s="37">
        <f t="shared" si="7"/>
        <v>43.5</v>
      </c>
      <c r="Q32" s="71">
        <v>35</v>
      </c>
      <c r="R32" s="71">
        <v>0</v>
      </c>
      <c r="S32" s="77">
        <v>8</v>
      </c>
      <c r="T32" s="77">
        <v>0.5</v>
      </c>
      <c r="U32" s="71"/>
      <c r="V32" s="37">
        <f t="shared" si="8"/>
        <v>4489.2</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row>
    <row r="33" s="23" customFormat="1" ht="72" customHeight="1" outlineLevel="2" spans="1:76">
      <c r="A33" s="61">
        <f t="shared" si="0"/>
        <v>28</v>
      </c>
      <c r="B33" s="62" t="s">
        <v>591</v>
      </c>
      <c r="C33" s="63" t="s">
        <v>592</v>
      </c>
      <c r="D33" s="64" t="s">
        <v>70</v>
      </c>
      <c r="E33" s="65">
        <v>511.297</v>
      </c>
      <c r="F33" s="66">
        <f t="shared" si="1"/>
        <v>8</v>
      </c>
      <c r="G33" s="66">
        <f t="shared" si="2"/>
        <v>35</v>
      </c>
      <c r="H33" s="66">
        <f t="shared" si="3"/>
        <v>0.5</v>
      </c>
      <c r="I33" s="67">
        <f t="shared" si="4"/>
        <v>4.35</v>
      </c>
      <c r="J33" s="67">
        <f t="shared" si="5"/>
        <v>47.85</v>
      </c>
      <c r="K33" s="68">
        <f t="shared" si="6"/>
        <v>24465.56</v>
      </c>
      <c r="L33" s="69" t="s">
        <v>538</v>
      </c>
      <c r="M33" s="70"/>
      <c r="N33" s="70"/>
      <c r="O33" s="70"/>
      <c r="P33" s="37">
        <f t="shared" si="7"/>
        <v>43.5</v>
      </c>
      <c r="Q33" s="71">
        <v>35</v>
      </c>
      <c r="R33" s="71">
        <v>0</v>
      </c>
      <c r="S33" s="77">
        <v>8</v>
      </c>
      <c r="T33" s="77">
        <v>0.5</v>
      </c>
      <c r="U33" s="71"/>
      <c r="V33" s="37">
        <f t="shared" si="8"/>
        <v>22241.4195</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row>
    <row r="34" s="23" customFormat="1" ht="72" customHeight="1" outlineLevel="2" spans="1:76">
      <c r="A34" s="61">
        <f t="shared" si="0"/>
        <v>29</v>
      </c>
      <c r="B34" s="62" t="s">
        <v>593</v>
      </c>
      <c r="C34" s="63" t="s">
        <v>594</v>
      </c>
      <c r="D34" s="64" t="s">
        <v>70</v>
      </c>
      <c r="E34" s="65">
        <v>50.704</v>
      </c>
      <c r="F34" s="66">
        <f t="shared" si="1"/>
        <v>8</v>
      </c>
      <c r="G34" s="66">
        <f t="shared" si="2"/>
        <v>35</v>
      </c>
      <c r="H34" s="66">
        <f t="shared" si="3"/>
        <v>0.5</v>
      </c>
      <c r="I34" s="67">
        <f t="shared" si="4"/>
        <v>4.35</v>
      </c>
      <c r="J34" s="67">
        <f t="shared" si="5"/>
        <v>47.85</v>
      </c>
      <c r="K34" s="68">
        <f t="shared" si="6"/>
        <v>2426.19</v>
      </c>
      <c r="L34" s="69" t="s">
        <v>538</v>
      </c>
      <c r="M34" s="70"/>
      <c r="N34" s="70"/>
      <c r="O34" s="70"/>
      <c r="P34" s="37">
        <f t="shared" si="7"/>
        <v>43.5</v>
      </c>
      <c r="Q34" s="71">
        <v>35</v>
      </c>
      <c r="R34" s="71">
        <v>0</v>
      </c>
      <c r="S34" s="77">
        <v>8</v>
      </c>
      <c r="T34" s="77">
        <v>0.5</v>
      </c>
      <c r="U34" s="71"/>
      <c r="V34" s="37">
        <f t="shared" si="8"/>
        <v>2205.624</v>
      </c>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row>
    <row r="35" s="23" customFormat="1" ht="72" customHeight="1" outlineLevel="2" spans="1:76">
      <c r="A35" s="61">
        <f t="shared" si="0"/>
        <v>30</v>
      </c>
      <c r="B35" s="62" t="s">
        <v>595</v>
      </c>
      <c r="C35" s="63" t="s">
        <v>596</v>
      </c>
      <c r="D35" s="64" t="s">
        <v>70</v>
      </c>
      <c r="E35" s="65">
        <v>10.744</v>
      </c>
      <c r="F35" s="66">
        <f t="shared" si="1"/>
        <v>8</v>
      </c>
      <c r="G35" s="66">
        <f t="shared" si="2"/>
        <v>35</v>
      </c>
      <c r="H35" s="66">
        <f t="shared" si="3"/>
        <v>0.5</v>
      </c>
      <c r="I35" s="67">
        <f t="shared" si="4"/>
        <v>4.35</v>
      </c>
      <c r="J35" s="67">
        <f t="shared" si="5"/>
        <v>47.85</v>
      </c>
      <c r="K35" s="68">
        <f t="shared" si="6"/>
        <v>514.1</v>
      </c>
      <c r="L35" s="69" t="s">
        <v>597</v>
      </c>
      <c r="M35" s="70"/>
      <c r="N35" s="70"/>
      <c r="O35" s="70"/>
      <c r="P35" s="37">
        <f t="shared" si="7"/>
        <v>43.5</v>
      </c>
      <c r="Q35" s="71">
        <v>35</v>
      </c>
      <c r="R35" s="71">
        <v>0</v>
      </c>
      <c r="S35" s="77">
        <v>8</v>
      </c>
      <c r="T35" s="77">
        <v>0.5</v>
      </c>
      <c r="U35" s="71"/>
      <c r="V35" s="37">
        <f t="shared" si="8"/>
        <v>467.364</v>
      </c>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row>
    <row r="36" s="23" customFormat="1" ht="72" customHeight="1" outlineLevel="2" spans="1:76">
      <c r="A36" s="61">
        <f t="shared" si="0"/>
        <v>31</v>
      </c>
      <c r="B36" s="62" t="s">
        <v>598</v>
      </c>
      <c r="C36" s="63" t="s">
        <v>599</v>
      </c>
      <c r="D36" s="64" t="s">
        <v>70</v>
      </c>
      <c r="E36" s="65">
        <v>51.985</v>
      </c>
      <c r="F36" s="66">
        <f t="shared" si="1"/>
        <v>35</v>
      </c>
      <c r="G36" s="66">
        <f t="shared" si="2"/>
        <v>135</v>
      </c>
      <c r="H36" s="66">
        <f t="shared" si="3"/>
        <v>1.5</v>
      </c>
      <c r="I36" s="67">
        <f t="shared" si="4"/>
        <v>17.15</v>
      </c>
      <c r="J36" s="67">
        <f t="shared" si="5"/>
        <v>188.65</v>
      </c>
      <c r="K36" s="68">
        <f t="shared" si="6"/>
        <v>9806.97</v>
      </c>
      <c r="L36" s="69" t="s">
        <v>538</v>
      </c>
      <c r="M36" s="70"/>
      <c r="N36" s="70"/>
      <c r="O36" s="70"/>
      <c r="P36" s="37">
        <f t="shared" si="7"/>
        <v>171.5</v>
      </c>
      <c r="Q36" s="74">
        <v>135</v>
      </c>
      <c r="R36" s="71">
        <v>0</v>
      </c>
      <c r="S36" s="73">
        <v>35</v>
      </c>
      <c r="T36" s="72">
        <v>1.5</v>
      </c>
      <c r="U36" s="71"/>
      <c r="V36" s="37">
        <f t="shared" si="8"/>
        <v>8915.4275</v>
      </c>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row>
    <row r="37" s="23" customFormat="1" ht="72" customHeight="1" outlineLevel="2" spans="1:76">
      <c r="A37" s="61">
        <f t="shared" si="0"/>
        <v>32</v>
      </c>
      <c r="B37" s="62" t="s">
        <v>600</v>
      </c>
      <c r="C37" s="63" t="s">
        <v>601</v>
      </c>
      <c r="D37" s="64" t="s">
        <v>70</v>
      </c>
      <c r="E37" s="65">
        <v>27.256</v>
      </c>
      <c r="F37" s="66">
        <f t="shared" si="1"/>
        <v>35</v>
      </c>
      <c r="G37" s="66">
        <f t="shared" si="2"/>
        <v>135</v>
      </c>
      <c r="H37" s="66">
        <f t="shared" si="3"/>
        <v>1.5</v>
      </c>
      <c r="I37" s="67">
        <f t="shared" si="4"/>
        <v>17.15</v>
      </c>
      <c r="J37" s="67">
        <f t="shared" si="5"/>
        <v>188.65</v>
      </c>
      <c r="K37" s="68">
        <f t="shared" si="6"/>
        <v>5141.84</v>
      </c>
      <c r="L37" s="69" t="s">
        <v>538</v>
      </c>
      <c r="M37" s="70"/>
      <c r="N37" s="70"/>
      <c r="O37" s="70"/>
      <c r="P37" s="37">
        <f t="shared" si="7"/>
        <v>171.5</v>
      </c>
      <c r="Q37" s="74">
        <v>135</v>
      </c>
      <c r="R37" s="71">
        <v>0</v>
      </c>
      <c r="S37" s="73">
        <v>35</v>
      </c>
      <c r="T37" s="72">
        <v>1.5</v>
      </c>
      <c r="U37" s="71"/>
      <c r="V37" s="37">
        <f t="shared" si="8"/>
        <v>4674.404</v>
      </c>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row>
    <row r="38" s="23" customFormat="1" ht="72" customHeight="1" outlineLevel="2" spans="1:76">
      <c r="A38" s="61">
        <f t="shared" si="0"/>
        <v>33</v>
      </c>
      <c r="B38" s="62" t="s">
        <v>602</v>
      </c>
      <c r="C38" s="63" t="s">
        <v>603</v>
      </c>
      <c r="D38" s="64" t="s">
        <v>70</v>
      </c>
      <c r="E38" s="65">
        <v>12.985</v>
      </c>
      <c r="F38" s="66">
        <f t="shared" si="1"/>
        <v>8</v>
      </c>
      <c r="G38" s="66">
        <f t="shared" si="2"/>
        <v>22</v>
      </c>
      <c r="H38" s="66">
        <f t="shared" si="3"/>
        <v>0.5</v>
      </c>
      <c r="I38" s="67">
        <f t="shared" si="4"/>
        <v>3.05</v>
      </c>
      <c r="J38" s="67">
        <f t="shared" si="5"/>
        <v>33.55</v>
      </c>
      <c r="K38" s="68">
        <f t="shared" si="6"/>
        <v>435.65</v>
      </c>
      <c r="L38" s="69" t="s">
        <v>538</v>
      </c>
      <c r="M38" s="70"/>
      <c r="N38" s="70"/>
      <c r="O38" s="70"/>
      <c r="P38" s="37">
        <f t="shared" si="7"/>
        <v>30.5</v>
      </c>
      <c r="Q38" s="76">
        <v>22</v>
      </c>
      <c r="R38" s="71">
        <v>0</v>
      </c>
      <c r="S38" s="76">
        <v>8</v>
      </c>
      <c r="T38" s="76">
        <v>0.5</v>
      </c>
      <c r="U38" s="71"/>
      <c r="V38" s="37">
        <f t="shared" si="8"/>
        <v>396.0425</v>
      </c>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row>
    <row r="39" s="23" customFormat="1" ht="72" customHeight="1" outlineLevel="2" spans="1:76">
      <c r="A39" s="61">
        <f t="shared" si="0"/>
        <v>34</v>
      </c>
      <c r="B39" s="62" t="s">
        <v>604</v>
      </c>
      <c r="C39" s="63" t="s">
        <v>605</v>
      </c>
      <c r="D39" s="64" t="s">
        <v>70</v>
      </c>
      <c r="E39" s="65">
        <v>123.453</v>
      </c>
      <c r="F39" s="66">
        <f t="shared" si="1"/>
        <v>8</v>
      </c>
      <c r="G39" s="66">
        <f t="shared" si="2"/>
        <v>35</v>
      </c>
      <c r="H39" s="66">
        <f t="shared" si="3"/>
        <v>0.5</v>
      </c>
      <c r="I39" s="67">
        <f t="shared" si="4"/>
        <v>4.35</v>
      </c>
      <c r="J39" s="67">
        <f t="shared" si="5"/>
        <v>47.85</v>
      </c>
      <c r="K39" s="68">
        <f t="shared" si="6"/>
        <v>5907.23</v>
      </c>
      <c r="L39" s="69" t="s">
        <v>538</v>
      </c>
      <c r="M39" s="70"/>
      <c r="N39" s="70"/>
      <c r="O39" s="70"/>
      <c r="P39" s="37">
        <f t="shared" si="7"/>
        <v>43.5</v>
      </c>
      <c r="Q39" s="71">
        <v>35</v>
      </c>
      <c r="R39" s="71">
        <v>0</v>
      </c>
      <c r="S39" s="77">
        <v>8</v>
      </c>
      <c r="T39" s="77">
        <v>0.5</v>
      </c>
      <c r="U39" s="71"/>
      <c r="V39" s="37">
        <f t="shared" si="8"/>
        <v>5370.2055</v>
      </c>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c r="BP39" s="70"/>
      <c r="BQ39" s="70"/>
      <c r="BR39" s="70"/>
      <c r="BS39" s="70"/>
      <c r="BT39" s="70"/>
      <c r="BU39" s="70"/>
      <c r="BV39" s="70"/>
      <c r="BW39" s="70"/>
      <c r="BX39" s="70"/>
    </row>
    <row r="40" s="23" customFormat="1" ht="48" customHeight="1" outlineLevel="2" spans="1:76">
      <c r="A40" s="61">
        <f t="shared" si="0"/>
        <v>35</v>
      </c>
      <c r="B40" s="62" t="s">
        <v>606</v>
      </c>
      <c r="C40" s="63" t="s">
        <v>607</v>
      </c>
      <c r="D40" s="64" t="s">
        <v>70</v>
      </c>
      <c r="E40" s="65">
        <v>31.476</v>
      </c>
      <c r="F40" s="66">
        <f t="shared" si="1"/>
        <v>35</v>
      </c>
      <c r="G40" s="66">
        <f t="shared" si="2"/>
        <v>155</v>
      </c>
      <c r="H40" s="66">
        <f t="shared" si="3"/>
        <v>1.5</v>
      </c>
      <c r="I40" s="67">
        <f t="shared" si="4"/>
        <v>19.15</v>
      </c>
      <c r="J40" s="67">
        <f t="shared" si="5"/>
        <v>210.65</v>
      </c>
      <c r="K40" s="68">
        <f t="shared" si="6"/>
        <v>6630.42</v>
      </c>
      <c r="L40" s="69" t="s">
        <v>538</v>
      </c>
      <c r="M40" s="70"/>
      <c r="N40" s="70"/>
      <c r="O40" s="70"/>
      <c r="P40" s="37">
        <f t="shared" si="7"/>
        <v>191.5</v>
      </c>
      <c r="Q40" s="74">
        <v>155</v>
      </c>
      <c r="R40" s="71">
        <v>0</v>
      </c>
      <c r="S40" s="73">
        <v>35</v>
      </c>
      <c r="T40" s="72">
        <v>1.5</v>
      </c>
      <c r="U40" s="71"/>
      <c r="V40" s="37">
        <f t="shared" si="8"/>
        <v>6027.654</v>
      </c>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0"/>
      <c r="BJ40" s="70"/>
      <c r="BK40" s="70"/>
      <c r="BL40" s="70"/>
      <c r="BM40" s="70"/>
      <c r="BN40" s="70"/>
      <c r="BO40" s="70"/>
      <c r="BP40" s="70"/>
      <c r="BQ40" s="70"/>
      <c r="BR40" s="70"/>
      <c r="BS40" s="70"/>
      <c r="BT40" s="70"/>
      <c r="BU40" s="70"/>
      <c r="BV40" s="70"/>
      <c r="BW40" s="70"/>
      <c r="BX40" s="70"/>
    </row>
    <row r="41" s="23" customFormat="1" ht="48" customHeight="1" outlineLevel="2" spans="1:76">
      <c r="A41" s="61">
        <f t="shared" si="0"/>
        <v>36</v>
      </c>
      <c r="B41" s="62" t="s">
        <v>608</v>
      </c>
      <c r="C41" s="63" t="s">
        <v>609</v>
      </c>
      <c r="D41" s="64" t="s">
        <v>610</v>
      </c>
      <c r="E41" s="65">
        <v>11</v>
      </c>
      <c r="F41" s="66">
        <f t="shared" si="1"/>
        <v>15</v>
      </c>
      <c r="G41" s="66">
        <f t="shared" si="2"/>
        <v>17.5</v>
      </c>
      <c r="H41" s="66">
        <f t="shared" si="3"/>
        <v>0.5</v>
      </c>
      <c r="I41" s="67">
        <f t="shared" si="4"/>
        <v>3.3</v>
      </c>
      <c r="J41" s="67">
        <f t="shared" si="5"/>
        <v>36.3</v>
      </c>
      <c r="K41" s="68">
        <f t="shared" si="6"/>
        <v>399.3</v>
      </c>
      <c r="L41" s="69" t="s">
        <v>611</v>
      </c>
      <c r="M41" s="70"/>
      <c r="N41" s="70"/>
      <c r="O41" s="70"/>
      <c r="P41" s="37">
        <f t="shared" si="7"/>
        <v>33</v>
      </c>
      <c r="Q41" s="71">
        <v>17.5</v>
      </c>
      <c r="R41" s="71">
        <v>0</v>
      </c>
      <c r="S41" s="78">
        <v>15</v>
      </c>
      <c r="T41" s="78">
        <v>0.5</v>
      </c>
      <c r="U41" s="71"/>
      <c r="V41" s="37">
        <f t="shared" si="8"/>
        <v>363</v>
      </c>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c r="BX41" s="70"/>
    </row>
    <row r="42" s="23" customFormat="1" ht="48" customHeight="1" outlineLevel="2" spans="1:76">
      <c r="A42" s="61">
        <f t="shared" si="0"/>
        <v>37</v>
      </c>
      <c r="B42" s="62" t="s">
        <v>612</v>
      </c>
      <c r="C42" s="63" t="s">
        <v>613</v>
      </c>
      <c r="D42" s="64" t="s">
        <v>610</v>
      </c>
      <c r="E42" s="65">
        <v>12</v>
      </c>
      <c r="F42" s="66">
        <f t="shared" si="1"/>
        <v>12</v>
      </c>
      <c r="G42" s="66">
        <f t="shared" si="2"/>
        <v>18.5</v>
      </c>
      <c r="H42" s="66">
        <f t="shared" si="3"/>
        <v>0.5</v>
      </c>
      <c r="I42" s="67">
        <f t="shared" si="4"/>
        <v>3.1</v>
      </c>
      <c r="J42" s="67">
        <f t="shared" si="5"/>
        <v>34.1</v>
      </c>
      <c r="K42" s="68">
        <f t="shared" si="6"/>
        <v>409.2</v>
      </c>
      <c r="L42" s="69" t="s">
        <v>611</v>
      </c>
      <c r="M42" s="70"/>
      <c r="N42" s="70"/>
      <c r="O42" s="70"/>
      <c r="P42" s="37">
        <f t="shared" si="7"/>
        <v>31</v>
      </c>
      <c r="Q42" s="71">
        <v>18.5</v>
      </c>
      <c r="R42" s="71">
        <v>0</v>
      </c>
      <c r="S42" s="78">
        <v>12</v>
      </c>
      <c r="T42" s="78">
        <v>0.5</v>
      </c>
      <c r="U42" s="71"/>
      <c r="V42" s="37">
        <f t="shared" si="8"/>
        <v>372</v>
      </c>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70"/>
      <c r="BT42" s="70"/>
      <c r="BU42" s="70"/>
      <c r="BV42" s="70"/>
      <c r="BW42" s="70"/>
      <c r="BX42" s="70"/>
    </row>
    <row r="43" s="23" customFormat="1" ht="48" customHeight="1" outlineLevel="2" spans="1:76">
      <c r="A43" s="61">
        <f t="shared" si="0"/>
        <v>38</v>
      </c>
      <c r="B43" s="62" t="s">
        <v>614</v>
      </c>
      <c r="C43" s="63" t="s">
        <v>615</v>
      </c>
      <c r="D43" s="64" t="s">
        <v>610</v>
      </c>
      <c r="E43" s="65">
        <v>41</v>
      </c>
      <c r="F43" s="66">
        <f t="shared" si="1"/>
        <v>12</v>
      </c>
      <c r="G43" s="66">
        <f t="shared" si="2"/>
        <v>19.5</v>
      </c>
      <c r="H43" s="66">
        <f t="shared" si="3"/>
        <v>0.5</v>
      </c>
      <c r="I43" s="67">
        <f t="shared" si="4"/>
        <v>3.2</v>
      </c>
      <c r="J43" s="67">
        <f t="shared" si="5"/>
        <v>35.2</v>
      </c>
      <c r="K43" s="68">
        <f t="shared" si="6"/>
        <v>1443.2</v>
      </c>
      <c r="L43" s="69" t="s">
        <v>611</v>
      </c>
      <c r="M43" s="70"/>
      <c r="N43" s="70"/>
      <c r="O43" s="70"/>
      <c r="P43" s="37">
        <f t="shared" si="7"/>
        <v>32</v>
      </c>
      <c r="Q43" s="71">
        <v>19.5</v>
      </c>
      <c r="R43" s="71">
        <v>0</v>
      </c>
      <c r="S43" s="78">
        <v>12</v>
      </c>
      <c r="T43" s="78">
        <v>0.5</v>
      </c>
      <c r="U43" s="71"/>
      <c r="V43" s="37">
        <f t="shared" si="8"/>
        <v>1312</v>
      </c>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70"/>
      <c r="BU43" s="70"/>
      <c r="BV43" s="70"/>
      <c r="BW43" s="70"/>
      <c r="BX43" s="70"/>
    </row>
    <row r="44" s="23" customFormat="1" ht="48" customHeight="1" outlineLevel="2" spans="1:76">
      <c r="A44" s="61">
        <f t="shared" si="0"/>
        <v>39</v>
      </c>
      <c r="B44" s="62" t="s">
        <v>616</v>
      </c>
      <c r="C44" s="63" t="s">
        <v>617</v>
      </c>
      <c r="D44" s="64" t="s">
        <v>610</v>
      </c>
      <c r="E44" s="65">
        <v>113</v>
      </c>
      <c r="F44" s="66">
        <f t="shared" si="1"/>
        <v>12</v>
      </c>
      <c r="G44" s="66">
        <f t="shared" si="2"/>
        <v>15</v>
      </c>
      <c r="H44" s="66">
        <f t="shared" si="3"/>
        <v>0.5</v>
      </c>
      <c r="I44" s="67">
        <f t="shared" si="4"/>
        <v>2.75</v>
      </c>
      <c r="J44" s="67">
        <f t="shared" si="5"/>
        <v>30.25</v>
      </c>
      <c r="K44" s="68">
        <f t="shared" si="6"/>
        <v>3418.25</v>
      </c>
      <c r="L44" s="69" t="s">
        <v>611</v>
      </c>
      <c r="M44" s="70"/>
      <c r="N44" s="70"/>
      <c r="O44" s="70"/>
      <c r="P44" s="37">
        <f t="shared" si="7"/>
        <v>27.5</v>
      </c>
      <c r="Q44" s="71">
        <v>15</v>
      </c>
      <c r="R44" s="71">
        <v>0</v>
      </c>
      <c r="S44" s="78">
        <v>12</v>
      </c>
      <c r="T44" s="78">
        <v>0.5</v>
      </c>
      <c r="U44" s="71"/>
      <c r="V44" s="37">
        <f t="shared" si="8"/>
        <v>3107.5</v>
      </c>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c r="BP44" s="70"/>
      <c r="BQ44" s="70"/>
      <c r="BR44" s="70"/>
      <c r="BS44" s="70"/>
      <c r="BT44" s="70"/>
      <c r="BU44" s="70"/>
      <c r="BV44" s="70"/>
      <c r="BW44" s="70"/>
      <c r="BX44" s="70"/>
    </row>
    <row r="45" s="23" customFormat="1" ht="48" customHeight="1" outlineLevel="2" spans="1:76">
      <c r="A45" s="61">
        <f t="shared" si="0"/>
        <v>40</v>
      </c>
      <c r="B45" s="62" t="s">
        <v>618</v>
      </c>
      <c r="C45" s="63" t="s">
        <v>619</v>
      </c>
      <c r="D45" s="64" t="s">
        <v>610</v>
      </c>
      <c r="E45" s="65">
        <v>29</v>
      </c>
      <c r="F45" s="66">
        <f t="shared" si="1"/>
        <v>12</v>
      </c>
      <c r="G45" s="66">
        <f t="shared" si="2"/>
        <v>135</v>
      </c>
      <c r="H45" s="66">
        <f t="shared" si="3"/>
        <v>0.5</v>
      </c>
      <c r="I45" s="67">
        <f t="shared" si="4"/>
        <v>14.75</v>
      </c>
      <c r="J45" s="67">
        <f t="shared" si="5"/>
        <v>162.25</v>
      </c>
      <c r="K45" s="68">
        <f t="shared" si="6"/>
        <v>4705.25</v>
      </c>
      <c r="L45" s="69" t="s">
        <v>611</v>
      </c>
      <c r="M45" s="70"/>
      <c r="N45" s="70"/>
      <c r="O45" s="70"/>
      <c r="P45" s="37">
        <f t="shared" si="7"/>
        <v>147.5</v>
      </c>
      <c r="Q45" s="71">
        <v>135</v>
      </c>
      <c r="R45" s="71">
        <v>0</v>
      </c>
      <c r="S45" s="78">
        <v>12</v>
      </c>
      <c r="T45" s="78">
        <v>0.5</v>
      </c>
      <c r="U45" s="71"/>
      <c r="V45" s="37">
        <f t="shared" si="8"/>
        <v>4277.5</v>
      </c>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c r="BL45" s="70"/>
      <c r="BM45" s="70"/>
      <c r="BN45" s="70"/>
      <c r="BO45" s="70"/>
      <c r="BP45" s="70"/>
      <c r="BQ45" s="70"/>
      <c r="BR45" s="70"/>
      <c r="BS45" s="70"/>
      <c r="BT45" s="70"/>
      <c r="BU45" s="70"/>
      <c r="BV45" s="70"/>
      <c r="BW45" s="70"/>
      <c r="BX45" s="70"/>
    </row>
    <row r="46" s="23" customFormat="1" ht="48" customHeight="1" outlineLevel="2" spans="1:76">
      <c r="A46" s="61">
        <f t="shared" si="0"/>
        <v>41</v>
      </c>
      <c r="B46" s="62" t="s">
        <v>620</v>
      </c>
      <c r="C46" s="63" t="s">
        <v>621</v>
      </c>
      <c r="D46" s="64" t="s">
        <v>610</v>
      </c>
      <c r="E46" s="65">
        <v>21</v>
      </c>
      <c r="F46" s="66">
        <f t="shared" si="1"/>
        <v>12</v>
      </c>
      <c r="G46" s="66">
        <f t="shared" si="2"/>
        <v>29.5</v>
      </c>
      <c r="H46" s="66">
        <f t="shared" si="3"/>
        <v>0.5</v>
      </c>
      <c r="I46" s="67">
        <f t="shared" si="4"/>
        <v>4.2</v>
      </c>
      <c r="J46" s="67">
        <f t="shared" si="5"/>
        <v>46.2</v>
      </c>
      <c r="K46" s="68">
        <f t="shared" si="6"/>
        <v>970.2</v>
      </c>
      <c r="L46" s="69" t="s">
        <v>611</v>
      </c>
      <c r="M46" s="70"/>
      <c r="N46" s="70"/>
      <c r="O46" s="70"/>
      <c r="P46" s="37">
        <f t="shared" si="7"/>
        <v>42</v>
      </c>
      <c r="Q46" s="71">
        <v>29.5</v>
      </c>
      <c r="R46" s="71">
        <v>0</v>
      </c>
      <c r="S46" s="78">
        <v>12</v>
      </c>
      <c r="T46" s="78">
        <v>0.5</v>
      </c>
      <c r="U46" s="71"/>
      <c r="V46" s="37">
        <f t="shared" si="8"/>
        <v>882</v>
      </c>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0"/>
      <c r="BV46" s="70"/>
      <c r="BW46" s="70"/>
      <c r="BX46" s="70"/>
    </row>
    <row r="47" s="23" customFormat="1" ht="36" customHeight="1" outlineLevel="2" spans="1:76">
      <c r="A47" s="61">
        <f t="shared" si="0"/>
        <v>42</v>
      </c>
      <c r="B47" s="62" t="s">
        <v>622</v>
      </c>
      <c r="C47" s="63" t="s">
        <v>623</v>
      </c>
      <c r="D47" s="64" t="s">
        <v>610</v>
      </c>
      <c r="E47" s="65">
        <v>1265.2</v>
      </c>
      <c r="F47" s="66">
        <f t="shared" si="1"/>
        <v>3.5</v>
      </c>
      <c r="G47" s="66">
        <f t="shared" si="2"/>
        <v>1.2</v>
      </c>
      <c r="H47" s="66">
        <f t="shared" si="3"/>
        <v>0.5</v>
      </c>
      <c r="I47" s="67">
        <f t="shared" si="4"/>
        <v>0.52</v>
      </c>
      <c r="J47" s="67">
        <f t="shared" si="5"/>
        <v>5.72</v>
      </c>
      <c r="K47" s="68">
        <f t="shared" si="6"/>
        <v>7236.94</v>
      </c>
      <c r="L47" s="69"/>
      <c r="M47" s="70"/>
      <c r="N47" s="70"/>
      <c r="O47" s="70"/>
      <c r="P47" s="37">
        <f t="shared" si="7"/>
        <v>5.2</v>
      </c>
      <c r="Q47" s="71">
        <v>1.2</v>
      </c>
      <c r="R47" s="71">
        <v>0</v>
      </c>
      <c r="S47" s="71">
        <v>3.5</v>
      </c>
      <c r="T47" s="71">
        <v>0.5</v>
      </c>
      <c r="U47" s="71"/>
      <c r="V47" s="37">
        <f t="shared" si="8"/>
        <v>6579.04</v>
      </c>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0"/>
      <c r="BJ47" s="70"/>
      <c r="BK47" s="70"/>
      <c r="BL47" s="70"/>
      <c r="BM47" s="70"/>
      <c r="BN47" s="70"/>
      <c r="BO47" s="70"/>
      <c r="BP47" s="70"/>
      <c r="BQ47" s="70"/>
      <c r="BR47" s="70"/>
      <c r="BS47" s="70"/>
      <c r="BT47" s="70"/>
      <c r="BU47" s="70"/>
      <c r="BV47" s="70"/>
      <c r="BW47" s="70"/>
      <c r="BX47" s="70"/>
    </row>
    <row r="48" s="23" customFormat="1" ht="60" customHeight="1" outlineLevel="2" spans="1:76">
      <c r="A48" s="61">
        <f t="shared" si="0"/>
        <v>43</v>
      </c>
      <c r="B48" s="62" t="s">
        <v>624</v>
      </c>
      <c r="C48" s="63" t="s">
        <v>625</v>
      </c>
      <c r="D48" s="64" t="s">
        <v>70</v>
      </c>
      <c r="E48" s="65">
        <v>202.675</v>
      </c>
      <c r="F48" s="66">
        <f t="shared" si="1"/>
        <v>30</v>
      </c>
      <c r="G48" s="66">
        <f t="shared" si="2"/>
        <v>37.23</v>
      </c>
      <c r="H48" s="66">
        <f t="shared" si="3"/>
        <v>11</v>
      </c>
      <c r="I48" s="67">
        <f t="shared" si="4"/>
        <v>7.823</v>
      </c>
      <c r="J48" s="67">
        <f t="shared" si="5"/>
        <v>86.053</v>
      </c>
      <c r="K48" s="68">
        <f t="shared" si="6"/>
        <v>17440.79</v>
      </c>
      <c r="L48" s="69"/>
      <c r="M48" s="70"/>
      <c r="N48" s="70"/>
      <c r="O48" s="70"/>
      <c r="P48" s="37">
        <f t="shared" si="7"/>
        <v>78.23</v>
      </c>
      <c r="Q48" s="74">
        <v>36.5</v>
      </c>
      <c r="R48" s="75">
        <v>0.02</v>
      </c>
      <c r="S48" s="74">
        <v>30</v>
      </c>
      <c r="T48" s="74">
        <v>10.5</v>
      </c>
      <c r="U48" s="74">
        <v>0.5</v>
      </c>
      <c r="V48" s="37">
        <f t="shared" si="8"/>
        <v>15855.26525</v>
      </c>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0"/>
      <c r="BJ48" s="70"/>
      <c r="BK48" s="70"/>
      <c r="BL48" s="70"/>
      <c r="BM48" s="70"/>
      <c r="BN48" s="70"/>
      <c r="BO48" s="70"/>
      <c r="BP48" s="70"/>
      <c r="BQ48" s="70"/>
      <c r="BR48" s="70"/>
      <c r="BS48" s="70"/>
      <c r="BT48" s="70"/>
      <c r="BU48" s="70"/>
      <c r="BV48" s="70"/>
      <c r="BW48" s="70"/>
      <c r="BX48" s="70"/>
    </row>
    <row r="49" s="23" customFormat="1" ht="60" customHeight="1" outlineLevel="2" spans="1:76">
      <c r="A49" s="61">
        <f t="shared" si="0"/>
        <v>44</v>
      </c>
      <c r="B49" s="62" t="s">
        <v>626</v>
      </c>
      <c r="C49" s="63" t="s">
        <v>627</v>
      </c>
      <c r="D49" s="64" t="s">
        <v>70</v>
      </c>
      <c r="E49" s="65">
        <v>10.704</v>
      </c>
      <c r="F49" s="66">
        <f t="shared" si="1"/>
        <v>65</v>
      </c>
      <c r="G49" s="66">
        <f t="shared" si="2"/>
        <v>306</v>
      </c>
      <c r="H49" s="66">
        <f t="shared" si="3"/>
        <v>31</v>
      </c>
      <c r="I49" s="67">
        <f t="shared" si="4"/>
        <v>40.2</v>
      </c>
      <c r="J49" s="67">
        <f t="shared" si="5"/>
        <v>442.2</v>
      </c>
      <c r="K49" s="68">
        <f t="shared" si="6"/>
        <v>4733.31</v>
      </c>
      <c r="L49" s="69"/>
      <c r="M49" s="70"/>
      <c r="N49" s="70"/>
      <c r="O49" s="70"/>
      <c r="P49" s="37">
        <f t="shared" si="7"/>
        <v>402</v>
      </c>
      <c r="Q49" s="74">
        <f>320*0.9+12</f>
        <v>300</v>
      </c>
      <c r="R49" s="75">
        <v>0.02</v>
      </c>
      <c r="S49" s="74">
        <v>65</v>
      </c>
      <c r="T49" s="74">
        <v>30.5</v>
      </c>
      <c r="U49" s="74">
        <v>0.5</v>
      </c>
      <c r="V49" s="37">
        <f t="shared" si="8"/>
        <v>4303.008</v>
      </c>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c r="BU49" s="70"/>
      <c r="BV49" s="70"/>
      <c r="BW49" s="70"/>
      <c r="BX49" s="70"/>
    </row>
    <row r="50" s="23" customFormat="1" ht="72" customHeight="1" outlineLevel="2" spans="1:76">
      <c r="A50" s="61">
        <f t="shared" si="0"/>
        <v>45</v>
      </c>
      <c r="B50" s="62" t="s">
        <v>628</v>
      </c>
      <c r="C50" s="63" t="s">
        <v>629</v>
      </c>
      <c r="D50" s="64" t="s">
        <v>70</v>
      </c>
      <c r="E50" s="65">
        <v>13851.429</v>
      </c>
      <c r="F50" s="66">
        <f t="shared" si="1"/>
        <v>1.5</v>
      </c>
      <c r="G50" s="66">
        <f t="shared" si="2"/>
        <v>3.232</v>
      </c>
      <c r="H50" s="66">
        <f t="shared" si="3"/>
        <v>1.32</v>
      </c>
      <c r="I50" s="67">
        <f t="shared" si="4"/>
        <v>0.6052</v>
      </c>
      <c r="J50" s="67">
        <f t="shared" si="5"/>
        <v>6.6572</v>
      </c>
      <c r="K50" s="68">
        <f t="shared" si="6"/>
        <v>92211.73</v>
      </c>
      <c r="L50" s="69"/>
      <c r="M50" s="70"/>
      <c r="N50" s="70"/>
      <c r="O50" s="70"/>
      <c r="P50" s="37">
        <f t="shared" si="7"/>
        <v>6.052</v>
      </c>
      <c r="Q50" s="79">
        <v>3.2</v>
      </c>
      <c r="R50" s="80">
        <v>0.01</v>
      </c>
      <c r="S50" s="79">
        <v>1.5</v>
      </c>
      <c r="T50" s="81">
        <v>0.18</v>
      </c>
      <c r="U50" s="71">
        <v>1.14</v>
      </c>
      <c r="V50" s="37">
        <f t="shared" si="8"/>
        <v>83828.848308</v>
      </c>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0"/>
      <c r="AW50" s="70"/>
      <c r="AX50" s="70"/>
      <c r="AY50" s="70"/>
      <c r="AZ50" s="70"/>
      <c r="BA50" s="70"/>
      <c r="BB50" s="70"/>
      <c r="BC50" s="70"/>
      <c r="BD50" s="70"/>
      <c r="BE50" s="70"/>
      <c r="BF50" s="70"/>
      <c r="BG50" s="70"/>
      <c r="BH50" s="70"/>
      <c r="BI50" s="70"/>
      <c r="BJ50" s="70"/>
      <c r="BK50" s="70"/>
      <c r="BL50" s="70"/>
      <c r="BM50" s="70"/>
      <c r="BN50" s="70"/>
      <c r="BO50" s="70"/>
      <c r="BP50" s="70"/>
      <c r="BQ50" s="70"/>
      <c r="BR50" s="70"/>
      <c r="BS50" s="70"/>
      <c r="BT50" s="70"/>
      <c r="BU50" s="70"/>
      <c r="BV50" s="70"/>
      <c r="BW50" s="70"/>
      <c r="BX50" s="70"/>
    </row>
    <row r="51" s="23" customFormat="1" ht="72" customHeight="1" outlineLevel="2" spans="1:76">
      <c r="A51" s="61">
        <f t="shared" si="0"/>
        <v>46</v>
      </c>
      <c r="B51" s="62" t="s">
        <v>630</v>
      </c>
      <c r="C51" s="63" t="s">
        <v>631</v>
      </c>
      <c r="D51" s="64" t="s">
        <v>70</v>
      </c>
      <c r="E51" s="65">
        <v>2897.412</v>
      </c>
      <c r="F51" s="66">
        <f t="shared" si="1"/>
        <v>2</v>
      </c>
      <c r="G51" s="66">
        <f t="shared" si="2"/>
        <v>4.949</v>
      </c>
      <c r="H51" s="66">
        <f t="shared" si="3"/>
        <v>1.32</v>
      </c>
      <c r="I51" s="67">
        <f t="shared" si="4"/>
        <v>0.8269</v>
      </c>
      <c r="J51" s="67">
        <f t="shared" si="5"/>
        <v>9.0959</v>
      </c>
      <c r="K51" s="68">
        <f t="shared" si="6"/>
        <v>26354.57</v>
      </c>
      <c r="L51" s="69"/>
      <c r="M51" s="70"/>
      <c r="N51" s="70"/>
      <c r="O51" s="70"/>
      <c r="P51" s="37">
        <f t="shared" si="7"/>
        <v>8.269</v>
      </c>
      <c r="Q51" s="82">
        <v>4.9</v>
      </c>
      <c r="R51" s="83">
        <v>0.01</v>
      </c>
      <c r="S51" s="81">
        <v>2</v>
      </c>
      <c r="T51" s="81">
        <v>0.18</v>
      </c>
      <c r="U51" s="71">
        <v>1.14</v>
      </c>
      <c r="V51" s="37">
        <f t="shared" si="8"/>
        <v>23958.699828</v>
      </c>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row>
    <row r="52" s="23" customFormat="1" ht="72" customHeight="1" outlineLevel="2" spans="1:76">
      <c r="A52" s="61">
        <f t="shared" si="0"/>
        <v>47</v>
      </c>
      <c r="B52" s="62" t="s">
        <v>632</v>
      </c>
      <c r="C52" s="63" t="s">
        <v>633</v>
      </c>
      <c r="D52" s="64" t="s">
        <v>70</v>
      </c>
      <c r="E52" s="65">
        <v>691.463</v>
      </c>
      <c r="F52" s="66">
        <f t="shared" si="1"/>
        <v>2.2</v>
      </c>
      <c r="G52" s="66">
        <f t="shared" si="2"/>
        <v>7.373</v>
      </c>
      <c r="H52" s="66">
        <f t="shared" si="3"/>
        <v>1.32</v>
      </c>
      <c r="I52" s="67">
        <f t="shared" si="4"/>
        <v>1.0893</v>
      </c>
      <c r="J52" s="67">
        <f t="shared" si="5"/>
        <v>11.9823</v>
      </c>
      <c r="K52" s="68">
        <f t="shared" si="6"/>
        <v>8285.32</v>
      </c>
      <c r="L52" s="69"/>
      <c r="M52" s="70"/>
      <c r="N52" s="70"/>
      <c r="O52" s="70"/>
      <c r="P52" s="37">
        <f t="shared" si="7"/>
        <v>10.893</v>
      </c>
      <c r="Q52" s="82">
        <v>7.3</v>
      </c>
      <c r="R52" s="83">
        <v>0.01</v>
      </c>
      <c r="S52" s="81">
        <v>2.2</v>
      </c>
      <c r="T52" s="81">
        <v>0.18</v>
      </c>
      <c r="U52" s="71">
        <v>1.14</v>
      </c>
      <c r="V52" s="37">
        <f t="shared" si="8"/>
        <v>7532.106459</v>
      </c>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row>
    <row r="53" s="23" customFormat="1" ht="72" customHeight="1" outlineLevel="2" spans="1:76">
      <c r="A53" s="61">
        <f t="shared" si="0"/>
        <v>48</v>
      </c>
      <c r="B53" s="62" t="s">
        <v>634</v>
      </c>
      <c r="C53" s="63" t="s">
        <v>635</v>
      </c>
      <c r="D53" s="64" t="s">
        <v>70</v>
      </c>
      <c r="E53" s="65">
        <v>54.098</v>
      </c>
      <c r="F53" s="66">
        <f t="shared" si="1"/>
        <v>2.5</v>
      </c>
      <c r="G53" s="66">
        <f t="shared" si="2"/>
        <v>12.625</v>
      </c>
      <c r="H53" s="66">
        <f t="shared" si="3"/>
        <v>1.32</v>
      </c>
      <c r="I53" s="67">
        <f t="shared" si="4"/>
        <v>1.6445</v>
      </c>
      <c r="J53" s="67">
        <f t="shared" si="5"/>
        <v>18.0895</v>
      </c>
      <c r="K53" s="68">
        <f t="shared" si="6"/>
        <v>978.61</v>
      </c>
      <c r="L53" s="69"/>
      <c r="M53" s="70"/>
      <c r="N53" s="70"/>
      <c r="O53" s="70"/>
      <c r="P53" s="37">
        <f t="shared" si="7"/>
        <v>16.445</v>
      </c>
      <c r="Q53" s="82">
        <v>12.5</v>
      </c>
      <c r="R53" s="83">
        <v>0.01</v>
      </c>
      <c r="S53" s="81">
        <v>2.5</v>
      </c>
      <c r="T53" s="81">
        <v>0.18</v>
      </c>
      <c r="U53" s="71">
        <v>1.14</v>
      </c>
      <c r="V53" s="37">
        <f t="shared" si="8"/>
        <v>889.64161</v>
      </c>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0"/>
      <c r="BQ53" s="70"/>
      <c r="BR53" s="70"/>
      <c r="BS53" s="70"/>
      <c r="BT53" s="70"/>
      <c r="BU53" s="70"/>
      <c r="BV53" s="70"/>
      <c r="BW53" s="70"/>
      <c r="BX53" s="70"/>
    </row>
    <row r="54" s="23" customFormat="1" ht="72" customHeight="1" outlineLevel="2" spans="1:76">
      <c r="A54" s="61">
        <f t="shared" si="0"/>
        <v>49</v>
      </c>
      <c r="B54" s="62" t="s">
        <v>636</v>
      </c>
      <c r="C54" s="63" t="s">
        <v>637</v>
      </c>
      <c r="D54" s="64" t="s">
        <v>70</v>
      </c>
      <c r="E54" s="65">
        <v>160.689</v>
      </c>
      <c r="F54" s="66">
        <f t="shared" si="1"/>
        <v>2.8</v>
      </c>
      <c r="G54" s="66">
        <f t="shared" si="2"/>
        <v>18.382</v>
      </c>
      <c r="H54" s="66">
        <f t="shared" si="3"/>
        <v>1.32</v>
      </c>
      <c r="I54" s="67">
        <f t="shared" si="4"/>
        <v>2.2502</v>
      </c>
      <c r="J54" s="67">
        <f t="shared" si="5"/>
        <v>24.7522</v>
      </c>
      <c r="K54" s="68">
        <f t="shared" si="6"/>
        <v>3977.41</v>
      </c>
      <c r="L54" s="69"/>
      <c r="M54" s="70"/>
      <c r="N54" s="70"/>
      <c r="O54" s="70"/>
      <c r="P54" s="37">
        <f t="shared" si="7"/>
        <v>22.502</v>
      </c>
      <c r="Q54" s="82">
        <v>18.2</v>
      </c>
      <c r="R54" s="83">
        <v>0.01</v>
      </c>
      <c r="S54" s="81">
        <v>2.8</v>
      </c>
      <c r="T54" s="81">
        <v>0.18</v>
      </c>
      <c r="U54" s="71">
        <v>1.14</v>
      </c>
      <c r="V54" s="37">
        <f t="shared" si="8"/>
        <v>3615.823878</v>
      </c>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row>
    <row r="55" s="23" customFormat="1" ht="72" customHeight="1" outlineLevel="2" spans="1:76">
      <c r="A55" s="61">
        <f t="shared" si="0"/>
        <v>50</v>
      </c>
      <c r="B55" s="62" t="s">
        <v>638</v>
      </c>
      <c r="C55" s="63" t="s">
        <v>639</v>
      </c>
      <c r="D55" s="64" t="s">
        <v>70</v>
      </c>
      <c r="E55" s="65">
        <v>4671.412</v>
      </c>
      <c r="F55" s="66">
        <f t="shared" si="1"/>
        <v>1.5</v>
      </c>
      <c r="G55" s="66">
        <f t="shared" si="2"/>
        <v>3.232</v>
      </c>
      <c r="H55" s="66">
        <f t="shared" si="3"/>
        <v>0.18</v>
      </c>
      <c r="I55" s="67">
        <f t="shared" si="4"/>
        <v>0.4912</v>
      </c>
      <c r="J55" s="67">
        <f t="shared" si="5"/>
        <v>5.4032</v>
      </c>
      <c r="K55" s="68">
        <f t="shared" si="6"/>
        <v>25240.57</v>
      </c>
      <c r="L55" s="69"/>
      <c r="M55" s="70"/>
      <c r="N55" s="70"/>
      <c r="O55" s="70"/>
      <c r="P55" s="37">
        <f t="shared" si="7"/>
        <v>4.912</v>
      </c>
      <c r="Q55" s="79">
        <v>3.2</v>
      </c>
      <c r="R55" s="80">
        <v>0.01</v>
      </c>
      <c r="S55" s="79">
        <v>1.5</v>
      </c>
      <c r="T55" s="81">
        <v>0.18</v>
      </c>
      <c r="U55" s="71"/>
      <c r="V55" s="37">
        <f t="shared" si="8"/>
        <v>22945.975744</v>
      </c>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row>
    <row r="56" s="23" customFormat="1" ht="72" customHeight="1" outlineLevel="2" spans="1:76">
      <c r="A56" s="61">
        <f t="shared" si="0"/>
        <v>51</v>
      </c>
      <c r="B56" s="62" t="s">
        <v>640</v>
      </c>
      <c r="C56" s="63" t="s">
        <v>641</v>
      </c>
      <c r="D56" s="64" t="s">
        <v>70</v>
      </c>
      <c r="E56" s="65">
        <v>3444.294</v>
      </c>
      <c r="F56" s="66">
        <f t="shared" si="1"/>
        <v>2</v>
      </c>
      <c r="G56" s="66">
        <f t="shared" si="2"/>
        <v>4.949</v>
      </c>
      <c r="H56" s="66">
        <f t="shared" si="3"/>
        <v>0.18</v>
      </c>
      <c r="I56" s="67">
        <f t="shared" si="4"/>
        <v>0.7129</v>
      </c>
      <c r="J56" s="67">
        <f t="shared" si="5"/>
        <v>7.8419</v>
      </c>
      <c r="K56" s="68">
        <f t="shared" si="6"/>
        <v>27009.81</v>
      </c>
      <c r="L56" s="69"/>
      <c r="M56" s="70"/>
      <c r="N56" s="70"/>
      <c r="O56" s="70"/>
      <c r="P56" s="37">
        <f t="shared" si="7"/>
        <v>7.129</v>
      </c>
      <c r="Q56" s="82">
        <v>4.9</v>
      </c>
      <c r="R56" s="83">
        <v>0.01</v>
      </c>
      <c r="S56" s="81">
        <v>2</v>
      </c>
      <c r="T56" s="81">
        <v>0.18</v>
      </c>
      <c r="U56" s="71"/>
      <c r="V56" s="37">
        <f t="shared" si="8"/>
        <v>24554.371926</v>
      </c>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row>
    <row r="57" s="23" customFormat="1" ht="72" customHeight="1" outlineLevel="2" spans="1:76">
      <c r="A57" s="61">
        <f t="shared" si="0"/>
        <v>52</v>
      </c>
      <c r="B57" s="62" t="s">
        <v>642</v>
      </c>
      <c r="C57" s="63" t="s">
        <v>643</v>
      </c>
      <c r="D57" s="64" t="s">
        <v>70</v>
      </c>
      <c r="E57" s="65">
        <v>1559.037</v>
      </c>
      <c r="F57" s="66">
        <f t="shared" si="1"/>
        <v>2.2</v>
      </c>
      <c r="G57" s="66">
        <f t="shared" si="2"/>
        <v>7.373</v>
      </c>
      <c r="H57" s="66">
        <f t="shared" si="3"/>
        <v>0.18</v>
      </c>
      <c r="I57" s="67">
        <f t="shared" si="4"/>
        <v>0.9753</v>
      </c>
      <c r="J57" s="67">
        <f t="shared" si="5"/>
        <v>10.7283</v>
      </c>
      <c r="K57" s="68">
        <f t="shared" si="6"/>
        <v>16725.82</v>
      </c>
      <c r="L57" s="69"/>
      <c r="M57" s="70"/>
      <c r="N57" s="70"/>
      <c r="O57" s="70"/>
      <c r="P57" s="37">
        <f t="shared" si="7"/>
        <v>9.753</v>
      </c>
      <c r="Q57" s="82">
        <v>7.3</v>
      </c>
      <c r="R57" s="83">
        <v>0.01</v>
      </c>
      <c r="S57" s="81">
        <v>2.2</v>
      </c>
      <c r="T57" s="81">
        <v>0.18</v>
      </c>
      <c r="U57" s="71"/>
      <c r="V57" s="37">
        <f t="shared" si="8"/>
        <v>15205.287861</v>
      </c>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row>
    <row r="58" s="23" customFormat="1" ht="72" customHeight="1" outlineLevel="2" spans="1:76">
      <c r="A58" s="61">
        <f t="shared" si="0"/>
        <v>53</v>
      </c>
      <c r="B58" s="62" t="s">
        <v>644</v>
      </c>
      <c r="C58" s="63" t="s">
        <v>645</v>
      </c>
      <c r="D58" s="64" t="s">
        <v>70</v>
      </c>
      <c r="E58" s="65">
        <v>156.347</v>
      </c>
      <c r="F58" s="66">
        <f t="shared" si="1"/>
        <v>2.5</v>
      </c>
      <c r="G58" s="66">
        <f t="shared" si="2"/>
        <v>12.625</v>
      </c>
      <c r="H58" s="66">
        <f t="shared" si="3"/>
        <v>0.18</v>
      </c>
      <c r="I58" s="67">
        <f t="shared" si="4"/>
        <v>1.5305</v>
      </c>
      <c r="J58" s="67">
        <f t="shared" si="5"/>
        <v>16.8355</v>
      </c>
      <c r="K58" s="68">
        <f t="shared" si="6"/>
        <v>2632.18</v>
      </c>
      <c r="L58" s="69"/>
      <c r="M58" s="70"/>
      <c r="N58" s="70"/>
      <c r="O58" s="70"/>
      <c r="P58" s="37">
        <f t="shared" si="7"/>
        <v>15.305</v>
      </c>
      <c r="Q58" s="82">
        <v>12.5</v>
      </c>
      <c r="R58" s="83">
        <v>0.01</v>
      </c>
      <c r="S58" s="81">
        <v>2.5</v>
      </c>
      <c r="T58" s="81">
        <v>0.18</v>
      </c>
      <c r="U58" s="71"/>
      <c r="V58" s="37">
        <f t="shared" si="8"/>
        <v>2392.890835</v>
      </c>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row>
    <row r="59" s="23" customFormat="1" ht="72" customHeight="1" outlineLevel="2" spans="1:76">
      <c r="A59" s="61">
        <f t="shared" si="0"/>
        <v>54</v>
      </c>
      <c r="B59" s="62" t="s">
        <v>646</v>
      </c>
      <c r="C59" s="63" t="s">
        <v>647</v>
      </c>
      <c r="D59" s="64" t="s">
        <v>70</v>
      </c>
      <c r="E59" s="65">
        <v>423.135</v>
      </c>
      <c r="F59" s="66">
        <f t="shared" si="1"/>
        <v>2.8</v>
      </c>
      <c r="G59" s="66">
        <f t="shared" si="2"/>
        <v>18.382</v>
      </c>
      <c r="H59" s="66">
        <f t="shared" si="3"/>
        <v>0.18</v>
      </c>
      <c r="I59" s="67">
        <f t="shared" si="4"/>
        <v>2.1362</v>
      </c>
      <c r="J59" s="67">
        <f t="shared" si="5"/>
        <v>23.4982</v>
      </c>
      <c r="K59" s="68">
        <f t="shared" si="6"/>
        <v>9942.91</v>
      </c>
      <c r="L59" s="69"/>
      <c r="M59" s="70"/>
      <c r="N59" s="70"/>
      <c r="O59" s="70"/>
      <c r="P59" s="37">
        <f t="shared" si="7"/>
        <v>21.362</v>
      </c>
      <c r="Q59" s="82">
        <v>18.2</v>
      </c>
      <c r="R59" s="83">
        <v>0.01</v>
      </c>
      <c r="S59" s="81">
        <v>2.8</v>
      </c>
      <c r="T59" s="81">
        <v>0.18</v>
      </c>
      <c r="U59" s="71"/>
      <c r="V59" s="37">
        <f t="shared" si="8"/>
        <v>9039.00987</v>
      </c>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row>
    <row r="60" s="23" customFormat="1" ht="48" customHeight="1" outlineLevel="2" spans="1:76">
      <c r="A60" s="61">
        <f t="shared" si="0"/>
        <v>55</v>
      </c>
      <c r="B60" s="62" t="s">
        <v>648</v>
      </c>
      <c r="C60" s="63" t="s">
        <v>649</v>
      </c>
      <c r="D60" s="64" t="s">
        <v>70</v>
      </c>
      <c r="E60" s="65">
        <v>55.771</v>
      </c>
      <c r="F60" s="66">
        <f t="shared" si="1"/>
        <v>18</v>
      </c>
      <c r="G60" s="66">
        <f t="shared" si="2"/>
        <v>155</v>
      </c>
      <c r="H60" s="66">
        <f t="shared" si="3"/>
        <v>1.5</v>
      </c>
      <c r="I60" s="67">
        <f t="shared" si="4"/>
        <v>17.45</v>
      </c>
      <c r="J60" s="67">
        <f t="shared" si="5"/>
        <v>191.95</v>
      </c>
      <c r="K60" s="68">
        <f t="shared" si="6"/>
        <v>10705.24</v>
      </c>
      <c r="L60" s="69"/>
      <c r="M60" s="70"/>
      <c r="N60" s="70"/>
      <c r="O60" s="70"/>
      <c r="P60" s="37">
        <f t="shared" si="7"/>
        <v>174.5</v>
      </c>
      <c r="Q60" s="71">
        <v>155</v>
      </c>
      <c r="R60" s="71">
        <v>0</v>
      </c>
      <c r="S60" s="71">
        <v>18</v>
      </c>
      <c r="T60" s="71">
        <v>1.5</v>
      </c>
      <c r="U60" s="71"/>
      <c r="V60" s="37">
        <f t="shared" si="8"/>
        <v>9732.0395</v>
      </c>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row>
    <row r="61" s="23" customFormat="1" ht="48" customHeight="1" outlineLevel="2" spans="1:76">
      <c r="A61" s="61">
        <f t="shared" si="0"/>
        <v>56</v>
      </c>
      <c r="B61" s="62" t="s">
        <v>650</v>
      </c>
      <c r="C61" s="63" t="s">
        <v>651</v>
      </c>
      <c r="D61" s="64" t="s">
        <v>70</v>
      </c>
      <c r="E61" s="65">
        <v>2574.751</v>
      </c>
      <c r="F61" s="66">
        <f t="shared" si="1"/>
        <v>8.5</v>
      </c>
      <c r="G61" s="66">
        <f t="shared" si="2"/>
        <v>5.252</v>
      </c>
      <c r="H61" s="66">
        <f t="shared" si="3"/>
        <v>1.8</v>
      </c>
      <c r="I61" s="67">
        <f t="shared" si="4"/>
        <v>1.5552</v>
      </c>
      <c r="J61" s="67">
        <f t="shared" si="5"/>
        <v>17.1072</v>
      </c>
      <c r="K61" s="68">
        <f t="shared" si="6"/>
        <v>44046.78</v>
      </c>
      <c r="L61" s="69"/>
      <c r="M61" s="70"/>
      <c r="N61" s="70"/>
      <c r="O61" s="70"/>
      <c r="P61" s="37">
        <f t="shared" si="7"/>
        <v>15.552</v>
      </c>
      <c r="Q61" s="74">
        <v>5.2</v>
      </c>
      <c r="R61" s="75">
        <v>0.01</v>
      </c>
      <c r="S61" s="74">
        <v>8.5</v>
      </c>
      <c r="T61" s="74">
        <v>1.8</v>
      </c>
      <c r="U61" s="71"/>
      <c r="V61" s="37">
        <f t="shared" si="8"/>
        <v>40042.527552</v>
      </c>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row>
    <row r="62" s="23" customFormat="1" ht="48" customHeight="1" outlineLevel="2" spans="1:76">
      <c r="A62" s="61">
        <f t="shared" si="0"/>
        <v>57</v>
      </c>
      <c r="B62" s="62" t="s">
        <v>652</v>
      </c>
      <c r="C62" s="63" t="s">
        <v>653</v>
      </c>
      <c r="D62" s="64" t="s">
        <v>70</v>
      </c>
      <c r="E62" s="65">
        <v>30.082</v>
      </c>
      <c r="F62" s="66">
        <f t="shared" si="1"/>
        <v>8.5</v>
      </c>
      <c r="G62" s="66">
        <f t="shared" si="2"/>
        <v>6.767</v>
      </c>
      <c r="H62" s="66">
        <f t="shared" si="3"/>
        <v>1.8</v>
      </c>
      <c r="I62" s="67">
        <f t="shared" si="4"/>
        <v>1.7067</v>
      </c>
      <c r="J62" s="67">
        <f t="shared" si="5"/>
        <v>18.7737</v>
      </c>
      <c r="K62" s="68">
        <f t="shared" si="6"/>
        <v>564.75</v>
      </c>
      <c r="L62" s="69"/>
      <c r="M62" s="70"/>
      <c r="N62" s="70"/>
      <c r="O62" s="70"/>
      <c r="P62" s="37">
        <f t="shared" si="7"/>
        <v>17.067</v>
      </c>
      <c r="Q62" s="74">
        <v>6.7</v>
      </c>
      <c r="R62" s="75">
        <v>0.01</v>
      </c>
      <c r="S62" s="74">
        <v>8.5</v>
      </c>
      <c r="T62" s="74">
        <v>1.8</v>
      </c>
      <c r="U62" s="71"/>
      <c r="V62" s="37">
        <f t="shared" si="8"/>
        <v>513.409494</v>
      </c>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0"/>
      <c r="AV62" s="70"/>
      <c r="AW62" s="70"/>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row>
    <row r="63" s="23" customFormat="1" ht="48" customHeight="1" outlineLevel="2" spans="1:76">
      <c r="A63" s="61">
        <f t="shared" si="0"/>
        <v>58</v>
      </c>
      <c r="B63" s="62" t="s">
        <v>654</v>
      </c>
      <c r="C63" s="63" t="s">
        <v>655</v>
      </c>
      <c r="D63" s="64" t="s">
        <v>70</v>
      </c>
      <c r="E63" s="65">
        <v>138.293</v>
      </c>
      <c r="F63" s="66">
        <f t="shared" si="1"/>
        <v>8.5</v>
      </c>
      <c r="G63" s="66">
        <f t="shared" si="2"/>
        <v>8.888</v>
      </c>
      <c r="H63" s="66">
        <f t="shared" si="3"/>
        <v>1.8</v>
      </c>
      <c r="I63" s="67">
        <f t="shared" si="4"/>
        <v>1.9188</v>
      </c>
      <c r="J63" s="67">
        <f t="shared" si="5"/>
        <v>21.1068</v>
      </c>
      <c r="K63" s="68">
        <f t="shared" si="6"/>
        <v>2918.92</v>
      </c>
      <c r="L63" s="69"/>
      <c r="M63" s="70"/>
      <c r="N63" s="70"/>
      <c r="O63" s="70"/>
      <c r="P63" s="37">
        <f t="shared" si="7"/>
        <v>19.188</v>
      </c>
      <c r="Q63" s="74">
        <v>8.8</v>
      </c>
      <c r="R63" s="75">
        <v>0.01</v>
      </c>
      <c r="S63" s="74">
        <v>8.5</v>
      </c>
      <c r="T63" s="74">
        <v>1.8</v>
      </c>
      <c r="U63" s="71"/>
      <c r="V63" s="37">
        <f t="shared" si="8"/>
        <v>2653.566084</v>
      </c>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row>
    <row r="64" s="23" customFormat="1" ht="48" customHeight="1" outlineLevel="2" spans="1:76">
      <c r="A64" s="61">
        <f t="shared" si="0"/>
        <v>59</v>
      </c>
      <c r="B64" s="62" t="s">
        <v>656</v>
      </c>
      <c r="C64" s="63" t="s">
        <v>657</v>
      </c>
      <c r="D64" s="64" t="s">
        <v>70</v>
      </c>
      <c r="E64" s="65">
        <v>10.82</v>
      </c>
      <c r="F64" s="66">
        <f t="shared" si="1"/>
        <v>8.5</v>
      </c>
      <c r="G64" s="66">
        <f t="shared" si="2"/>
        <v>11.312</v>
      </c>
      <c r="H64" s="66">
        <f t="shared" si="3"/>
        <v>1.8</v>
      </c>
      <c r="I64" s="67">
        <f t="shared" si="4"/>
        <v>2.1612</v>
      </c>
      <c r="J64" s="67">
        <f t="shared" si="5"/>
        <v>23.7732</v>
      </c>
      <c r="K64" s="68">
        <f t="shared" si="6"/>
        <v>257.23</v>
      </c>
      <c r="L64" s="69"/>
      <c r="M64" s="70"/>
      <c r="N64" s="70"/>
      <c r="O64" s="70"/>
      <c r="P64" s="37">
        <f t="shared" si="7"/>
        <v>21.612</v>
      </c>
      <c r="Q64" s="74">
        <v>11.2</v>
      </c>
      <c r="R64" s="75">
        <v>0.01</v>
      </c>
      <c r="S64" s="74">
        <v>8.5</v>
      </c>
      <c r="T64" s="74">
        <v>1.8</v>
      </c>
      <c r="U64" s="71"/>
      <c r="V64" s="37">
        <f t="shared" si="8"/>
        <v>233.84184</v>
      </c>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row>
    <row r="65" s="23" customFormat="1" ht="48" customHeight="1" outlineLevel="2" spans="1:76">
      <c r="A65" s="61">
        <f t="shared" si="0"/>
        <v>60</v>
      </c>
      <c r="B65" s="62" t="s">
        <v>658</v>
      </c>
      <c r="C65" s="63" t="s">
        <v>659</v>
      </c>
      <c r="D65" s="64" t="s">
        <v>70</v>
      </c>
      <c r="E65" s="65">
        <v>46.675</v>
      </c>
      <c r="F65" s="66">
        <f t="shared" si="1"/>
        <v>20</v>
      </c>
      <c r="G65" s="66">
        <f t="shared" si="2"/>
        <v>30.3</v>
      </c>
      <c r="H65" s="66">
        <f t="shared" si="3"/>
        <v>1.2</v>
      </c>
      <c r="I65" s="67">
        <f t="shared" si="4"/>
        <v>5.15</v>
      </c>
      <c r="J65" s="67">
        <f t="shared" si="5"/>
        <v>56.65</v>
      </c>
      <c r="K65" s="68">
        <f t="shared" si="6"/>
        <v>2644.14</v>
      </c>
      <c r="L65" s="69"/>
      <c r="M65" s="70"/>
      <c r="N65" s="70"/>
      <c r="O65" s="70"/>
      <c r="P65" s="37">
        <f t="shared" si="7"/>
        <v>51.5</v>
      </c>
      <c r="Q65" s="84">
        <v>30</v>
      </c>
      <c r="R65" s="85">
        <v>0.01</v>
      </c>
      <c r="S65" s="84">
        <v>20</v>
      </c>
      <c r="T65" s="84">
        <v>1.2</v>
      </c>
      <c r="U65" s="71"/>
      <c r="V65" s="37">
        <f t="shared" si="8"/>
        <v>2403.7625</v>
      </c>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row>
    <row r="66" s="23" customFormat="1" ht="48" customHeight="1" outlineLevel="2" spans="1:76">
      <c r="A66" s="61">
        <f t="shared" si="0"/>
        <v>61</v>
      </c>
      <c r="B66" s="62" t="s">
        <v>660</v>
      </c>
      <c r="C66" s="63" t="s">
        <v>661</v>
      </c>
      <c r="D66" s="64" t="s">
        <v>70</v>
      </c>
      <c r="E66" s="65">
        <v>144.983</v>
      </c>
      <c r="F66" s="66">
        <f t="shared" si="1"/>
        <v>8.5</v>
      </c>
      <c r="G66" s="66">
        <f t="shared" si="2"/>
        <v>4.949</v>
      </c>
      <c r="H66" s="66">
        <f t="shared" si="3"/>
        <v>1.8</v>
      </c>
      <c r="I66" s="67">
        <f t="shared" si="4"/>
        <v>1.5249</v>
      </c>
      <c r="J66" s="67">
        <f t="shared" si="5"/>
        <v>16.7739</v>
      </c>
      <c r="K66" s="68">
        <f t="shared" si="6"/>
        <v>2431.93</v>
      </c>
      <c r="L66" s="69"/>
      <c r="M66" s="70"/>
      <c r="N66" s="70"/>
      <c r="O66" s="70"/>
      <c r="P66" s="37">
        <f t="shared" si="7"/>
        <v>15.249</v>
      </c>
      <c r="Q66" s="71">
        <v>4.9</v>
      </c>
      <c r="R66" s="75">
        <v>0.01</v>
      </c>
      <c r="S66" s="74">
        <v>8.5</v>
      </c>
      <c r="T66" s="74">
        <v>1.8</v>
      </c>
      <c r="U66" s="71"/>
      <c r="V66" s="37">
        <f t="shared" si="8"/>
        <v>2210.845767</v>
      </c>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row>
    <row r="67" s="23" customFormat="1" ht="48" customHeight="1" outlineLevel="2" spans="1:76">
      <c r="A67" s="61">
        <f t="shared" si="0"/>
        <v>62</v>
      </c>
      <c r="B67" s="62" t="s">
        <v>662</v>
      </c>
      <c r="C67" s="63" t="s">
        <v>663</v>
      </c>
      <c r="D67" s="64" t="s">
        <v>70</v>
      </c>
      <c r="E67" s="65">
        <v>935.722</v>
      </c>
      <c r="F67" s="66">
        <f t="shared" si="1"/>
        <v>8.5</v>
      </c>
      <c r="G67" s="66">
        <f t="shared" si="2"/>
        <v>6.565</v>
      </c>
      <c r="H67" s="66">
        <f t="shared" si="3"/>
        <v>1.8</v>
      </c>
      <c r="I67" s="67">
        <f t="shared" si="4"/>
        <v>1.6865</v>
      </c>
      <c r="J67" s="67">
        <f t="shared" si="5"/>
        <v>18.5515</v>
      </c>
      <c r="K67" s="68">
        <f t="shared" si="6"/>
        <v>17359.05</v>
      </c>
      <c r="L67" s="69"/>
      <c r="M67" s="70"/>
      <c r="N67" s="70"/>
      <c r="O67" s="70"/>
      <c r="P67" s="37">
        <f t="shared" si="7"/>
        <v>16.865</v>
      </c>
      <c r="Q67" s="71">
        <v>6.5</v>
      </c>
      <c r="R67" s="75">
        <v>0.01</v>
      </c>
      <c r="S67" s="74">
        <v>8.5</v>
      </c>
      <c r="T67" s="74">
        <v>1.8</v>
      </c>
      <c r="U67" s="71"/>
      <c r="V67" s="37">
        <f t="shared" si="8"/>
        <v>15780.95153</v>
      </c>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row>
    <row r="68" s="23" customFormat="1" ht="48" customHeight="1" outlineLevel="2" spans="1:76">
      <c r="A68" s="61">
        <f t="shared" si="0"/>
        <v>63</v>
      </c>
      <c r="B68" s="62" t="s">
        <v>664</v>
      </c>
      <c r="C68" s="63" t="s">
        <v>665</v>
      </c>
      <c r="D68" s="64" t="s">
        <v>70</v>
      </c>
      <c r="E68" s="65">
        <v>1584</v>
      </c>
      <c r="F68" s="66">
        <f t="shared" si="1"/>
        <v>2.5</v>
      </c>
      <c r="G68" s="66">
        <f t="shared" si="2"/>
        <v>8.8</v>
      </c>
      <c r="H68" s="66">
        <f t="shared" si="3"/>
        <v>0.3</v>
      </c>
      <c r="I68" s="67">
        <f t="shared" si="4"/>
        <v>1.16</v>
      </c>
      <c r="J68" s="67">
        <f t="shared" si="5"/>
        <v>12.76</v>
      </c>
      <c r="K68" s="68">
        <f t="shared" si="6"/>
        <v>20211.84</v>
      </c>
      <c r="L68" s="69"/>
      <c r="M68" s="70"/>
      <c r="N68" s="70"/>
      <c r="O68" s="70"/>
      <c r="P68" s="37">
        <f t="shared" si="7"/>
        <v>11.6</v>
      </c>
      <c r="Q68" s="71">
        <v>2.2</v>
      </c>
      <c r="R68" s="71">
        <v>3</v>
      </c>
      <c r="S68" s="71">
        <v>2.5</v>
      </c>
      <c r="T68" s="71">
        <v>0.3</v>
      </c>
      <c r="U68" s="71"/>
      <c r="V68" s="37">
        <f t="shared" si="8"/>
        <v>18374.4</v>
      </c>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row>
    <row r="69" s="23" customFormat="1" ht="48" customHeight="1" outlineLevel="2" spans="1:76">
      <c r="A69" s="61">
        <f t="shared" si="0"/>
        <v>64</v>
      </c>
      <c r="B69" s="62" t="s">
        <v>666</v>
      </c>
      <c r="C69" s="63" t="s">
        <v>667</v>
      </c>
      <c r="D69" s="64" t="s">
        <v>70</v>
      </c>
      <c r="E69" s="65">
        <v>124.65</v>
      </c>
      <c r="F69" s="66">
        <f t="shared" si="1"/>
        <v>20</v>
      </c>
      <c r="G69" s="66">
        <f t="shared" si="2"/>
        <v>0</v>
      </c>
      <c r="H69" s="66">
        <f t="shared" si="3"/>
        <v>2</v>
      </c>
      <c r="I69" s="67">
        <f t="shared" si="4"/>
        <v>2.2</v>
      </c>
      <c r="J69" s="67">
        <f t="shared" si="5"/>
        <v>24.2</v>
      </c>
      <c r="K69" s="68">
        <f t="shared" si="6"/>
        <v>3016.53</v>
      </c>
      <c r="L69" s="69"/>
      <c r="M69" s="70"/>
      <c r="N69" s="70"/>
      <c r="O69" s="70"/>
      <c r="P69" s="37">
        <f t="shared" si="7"/>
        <v>22</v>
      </c>
      <c r="Q69" s="71"/>
      <c r="R69" s="71">
        <v>0</v>
      </c>
      <c r="S69" s="71">
        <v>20</v>
      </c>
      <c r="T69" s="71"/>
      <c r="U69" s="71">
        <v>2</v>
      </c>
      <c r="V69" s="37">
        <f t="shared" si="8"/>
        <v>2742.3</v>
      </c>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row>
    <row r="70" s="23" customFormat="1" ht="48" customHeight="1" outlineLevel="2" spans="1:76">
      <c r="A70" s="61">
        <f>A69+1</f>
        <v>65</v>
      </c>
      <c r="B70" s="62" t="s">
        <v>668</v>
      </c>
      <c r="C70" s="63" t="s">
        <v>669</v>
      </c>
      <c r="D70" s="64" t="s">
        <v>70</v>
      </c>
      <c r="E70" s="65">
        <v>47</v>
      </c>
      <c r="F70" s="66">
        <f>S70*$S$1</f>
        <v>20</v>
      </c>
      <c r="G70" s="66">
        <f>Q70*(1+R70)*$Q$1</f>
        <v>0</v>
      </c>
      <c r="H70" s="66">
        <f>(T70+U70)*$T$1</f>
        <v>2</v>
      </c>
      <c r="I70" s="67">
        <f>(F70+G70+H70)*$I$3</f>
        <v>2.2</v>
      </c>
      <c r="J70" s="67">
        <f>F70+G70+H70+I70</f>
        <v>24.2</v>
      </c>
      <c r="K70" s="68">
        <f>ROUND(E70*J70,2)</f>
        <v>1137.4</v>
      </c>
      <c r="L70" s="69"/>
      <c r="M70" s="70"/>
      <c r="N70" s="70"/>
      <c r="O70" s="70"/>
      <c r="P70" s="37">
        <f>Q70+Q70*R70+S70+T70+U70</f>
        <v>22</v>
      </c>
      <c r="Q70" s="71"/>
      <c r="R70" s="71">
        <v>0</v>
      </c>
      <c r="S70" s="71">
        <v>20</v>
      </c>
      <c r="T70" s="71"/>
      <c r="U70" s="71">
        <v>2</v>
      </c>
      <c r="V70" s="37">
        <f>P70*E70</f>
        <v>1034</v>
      </c>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row>
    <row r="71" s="23" customFormat="1" ht="60" customHeight="1" outlineLevel="2" spans="1:76">
      <c r="A71" s="61">
        <f>A70+1</f>
        <v>66</v>
      </c>
      <c r="B71" s="62" t="s">
        <v>670</v>
      </c>
      <c r="C71" s="63" t="s">
        <v>671</v>
      </c>
      <c r="D71" s="64" t="s">
        <v>610</v>
      </c>
      <c r="E71" s="65">
        <v>1</v>
      </c>
      <c r="F71" s="66">
        <f>S71*$S$1</f>
        <v>500</v>
      </c>
      <c r="G71" s="66">
        <f>Q71*(1+R71)*$Q$1</f>
        <v>8000</v>
      </c>
      <c r="H71" s="66">
        <f>(T71+U71)*$T$1</f>
        <v>60</v>
      </c>
      <c r="I71" s="67">
        <f>(F71+G71+H71)*$I$3</f>
        <v>856</v>
      </c>
      <c r="J71" s="67">
        <f>F71+G71+H71+I71</f>
        <v>9416</v>
      </c>
      <c r="K71" s="68">
        <f>ROUND(E71*J71,2)</f>
        <v>9416</v>
      </c>
      <c r="L71" s="69" t="s">
        <v>672</v>
      </c>
      <c r="M71" s="70"/>
      <c r="N71" s="70"/>
      <c r="O71" s="70"/>
      <c r="P71" s="37">
        <f>Q71+Q71*R71+S71+T71+U71</f>
        <v>8560</v>
      </c>
      <c r="Q71" s="71">
        <v>8000</v>
      </c>
      <c r="R71" s="71">
        <v>0</v>
      </c>
      <c r="S71" s="71">
        <v>500</v>
      </c>
      <c r="T71" s="71">
        <v>60</v>
      </c>
      <c r="U71" s="71"/>
      <c r="V71" s="37">
        <f>P71*E71</f>
        <v>8560</v>
      </c>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row>
    <row r="72" s="23" customFormat="1" ht="54" customHeight="1" outlineLevel="2" spans="1:76">
      <c r="A72" s="61">
        <f>A71+1</f>
        <v>67</v>
      </c>
      <c r="B72" s="62" t="s">
        <v>673</v>
      </c>
      <c r="C72" s="63" t="s">
        <v>674</v>
      </c>
      <c r="D72" s="64" t="s">
        <v>610</v>
      </c>
      <c r="E72" s="65">
        <v>8</v>
      </c>
      <c r="F72" s="66">
        <f>S72*$S$1</f>
        <v>50</v>
      </c>
      <c r="G72" s="66">
        <f>Q72*(1+R72)*$Q$1</f>
        <v>350</v>
      </c>
      <c r="H72" s="66">
        <f>(T72+U72)*$T$1</f>
        <v>1.5</v>
      </c>
      <c r="I72" s="67">
        <f>(F72+G72+H72)*$I$3</f>
        <v>40.15</v>
      </c>
      <c r="J72" s="67">
        <f>F72+G72+H72+I72</f>
        <v>441.65</v>
      </c>
      <c r="K72" s="68">
        <f>ROUND(E72*J72,2)</f>
        <v>3533.2</v>
      </c>
      <c r="L72" s="69" t="s">
        <v>675</v>
      </c>
      <c r="M72" s="70"/>
      <c r="N72" s="70"/>
      <c r="O72" s="70"/>
      <c r="P72" s="37">
        <f>Q72+Q72*R72+S72+T72+U72</f>
        <v>401.5</v>
      </c>
      <c r="Q72" s="71">
        <v>350</v>
      </c>
      <c r="R72" s="71">
        <v>0</v>
      </c>
      <c r="S72" s="71">
        <v>50</v>
      </c>
      <c r="T72" s="71">
        <v>1.5</v>
      </c>
      <c r="U72" s="71"/>
      <c r="V72" s="37">
        <f>P72*E72</f>
        <v>3212</v>
      </c>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row>
    <row r="73" s="23" customFormat="1" ht="59" customHeight="1" outlineLevel="2" spans="1:76">
      <c r="A73" s="61">
        <f>A72+1</f>
        <v>68</v>
      </c>
      <c r="B73" s="62" t="s">
        <v>676</v>
      </c>
      <c r="C73" s="63" t="s">
        <v>677</v>
      </c>
      <c r="D73" s="64" t="s">
        <v>610</v>
      </c>
      <c r="E73" s="65">
        <v>3</v>
      </c>
      <c r="F73" s="66">
        <f>S73*$S$1</f>
        <v>300</v>
      </c>
      <c r="G73" s="66">
        <f>Q73*(1+R73)*$Q$1</f>
        <v>4000</v>
      </c>
      <c r="H73" s="66">
        <f>(T73+U73)*$T$1</f>
        <v>15</v>
      </c>
      <c r="I73" s="67">
        <f>(F73+G73+H73)*$I$3</f>
        <v>431.5</v>
      </c>
      <c r="J73" s="67">
        <f>F73+G73+H73+I73</f>
        <v>4746.5</v>
      </c>
      <c r="K73" s="68">
        <f>ROUND(E73*J73,2)</f>
        <v>14239.5</v>
      </c>
      <c r="L73" s="69" t="s">
        <v>678</v>
      </c>
      <c r="M73" s="70"/>
      <c r="N73" s="70"/>
      <c r="O73" s="70"/>
      <c r="P73" s="37">
        <f>Q73+Q73*R73+S73+T73+U73</f>
        <v>4315</v>
      </c>
      <c r="Q73" s="71">
        <v>4000</v>
      </c>
      <c r="R73" s="71">
        <v>0</v>
      </c>
      <c r="S73" s="71">
        <v>300</v>
      </c>
      <c r="T73" s="71">
        <v>15</v>
      </c>
      <c r="U73" s="71"/>
      <c r="V73" s="37">
        <f>P73*E73</f>
        <v>12945</v>
      </c>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row>
    <row r="74" s="23" customFormat="1" ht="59" customHeight="1" outlineLevel="2" spans="1:76">
      <c r="A74" s="61">
        <f>A73+1</f>
        <v>69</v>
      </c>
      <c r="B74" s="62" t="s">
        <v>679</v>
      </c>
      <c r="C74" s="63" t="s">
        <v>680</v>
      </c>
      <c r="D74" s="64" t="s">
        <v>610</v>
      </c>
      <c r="E74" s="65">
        <v>2</v>
      </c>
      <c r="F74" s="66">
        <f>S74*$S$1</f>
        <v>300</v>
      </c>
      <c r="G74" s="66">
        <f>Q74*(1+R74)*$Q$1</f>
        <v>4000</v>
      </c>
      <c r="H74" s="66">
        <f>(T74+U74)*$T$1</f>
        <v>15</v>
      </c>
      <c r="I74" s="67">
        <f>(F74+G74+H74)*$I$3</f>
        <v>431.5</v>
      </c>
      <c r="J74" s="67">
        <f>F74+G74+H74+I74</f>
        <v>4746.5</v>
      </c>
      <c r="K74" s="68">
        <f>ROUND(E74*J74,2)</f>
        <v>9493</v>
      </c>
      <c r="L74" s="69" t="s">
        <v>681</v>
      </c>
      <c r="M74" s="70"/>
      <c r="N74" s="70"/>
      <c r="O74" s="70"/>
      <c r="P74" s="37">
        <f>Q74+Q74*R74+S74+T74+U74</f>
        <v>4315</v>
      </c>
      <c r="Q74" s="71">
        <v>4000</v>
      </c>
      <c r="R74" s="71">
        <v>0</v>
      </c>
      <c r="S74" s="71">
        <v>300</v>
      </c>
      <c r="T74" s="71">
        <v>15</v>
      </c>
      <c r="U74" s="71"/>
      <c r="V74" s="37">
        <f>P74*E74</f>
        <v>8630</v>
      </c>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row>
    <row r="75" ht="20" customHeight="1" outlineLevel="1" spans="1:76">
      <c r="A75" s="86"/>
      <c r="B75" s="87" t="s">
        <v>682</v>
      </c>
      <c r="C75" s="88"/>
      <c r="D75" s="89"/>
      <c r="E75" s="51"/>
      <c r="F75" s="90"/>
      <c r="G75" s="90"/>
      <c r="H75" s="90"/>
      <c r="I75" s="91"/>
      <c r="J75" s="91"/>
      <c r="K75" s="55">
        <f>SUM(K76:K78)</f>
        <v>7420.09</v>
      </c>
      <c r="L75" s="86"/>
      <c r="P75" s="92"/>
      <c r="Q75" s="92"/>
      <c r="R75" s="92"/>
      <c r="S75" s="92"/>
      <c r="T75" s="92"/>
      <c r="U75" s="92"/>
      <c r="V75" s="92"/>
    </row>
    <row r="76" s="23" customFormat="1" ht="60" customHeight="1" outlineLevel="2" spans="1:76">
      <c r="A76" s="93">
        <f>A75+1</f>
        <v>1</v>
      </c>
      <c r="B76" s="94" t="s">
        <v>539</v>
      </c>
      <c r="C76" s="95" t="s">
        <v>540</v>
      </c>
      <c r="D76" s="50" t="s">
        <v>156</v>
      </c>
      <c r="E76" s="51">
        <v>21</v>
      </c>
      <c r="F76" s="96">
        <f>$F$7</f>
        <v>18</v>
      </c>
      <c r="G76" s="96">
        <f>$G$7</f>
        <v>120</v>
      </c>
      <c r="H76" s="96">
        <f>$H$7</f>
        <v>1.5</v>
      </c>
      <c r="I76" s="54">
        <f>(F76+G76+H76)*$I$3</f>
        <v>13.95</v>
      </c>
      <c r="J76" s="54">
        <f>F76+G76+H76+I76</f>
        <v>153.45</v>
      </c>
      <c r="K76" s="97">
        <f>ROUND(E76*J76,2)</f>
        <v>3222.45</v>
      </c>
      <c r="L76" s="98" t="s">
        <v>538</v>
      </c>
      <c r="M76" s="70"/>
      <c r="N76" s="70"/>
      <c r="O76" s="70"/>
      <c r="P76" s="37">
        <f>Q76+Q76*R76+S76+T76+U76</f>
        <v>139.5</v>
      </c>
      <c r="Q76" s="99">
        <f>$Q$7</f>
        <v>120</v>
      </c>
      <c r="R76" s="99">
        <f>$R$7</f>
        <v>0</v>
      </c>
      <c r="S76" s="99">
        <f>$S$7</f>
        <v>18</v>
      </c>
      <c r="T76" s="99">
        <f>$T$7</f>
        <v>1.5</v>
      </c>
      <c r="U76" s="99">
        <f>$U$7</f>
        <v>0</v>
      </c>
      <c r="V76" s="37">
        <f>P76*E76</f>
        <v>2929.5</v>
      </c>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c r="AV76" s="70"/>
      <c r="AW76" s="70"/>
      <c r="AX76" s="70"/>
      <c r="AY76" s="70"/>
      <c r="AZ76" s="70"/>
      <c r="BA76" s="70"/>
      <c r="BB76" s="70"/>
      <c r="BC76" s="70"/>
      <c r="BD76" s="70"/>
      <c r="BE76" s="70"/>
      <c r="BF76" s="70"/>
      <c r="BG76" s="70"/>
      <c r="BH76" s="70"/>
      <c r="BI76" s="70"/>
      <c r="BJ76" s="70"/>
      <c r="BK76" s="70"/>
      <c r="BL76" s="70"/>
      <c r="BM76" s="70"/>
      <c r="BN76" s="70"/>
      <c r="BO76" s="70"/>
      <c r="BP76" s="70"/>
      <c r="BQ76" s="70"/>
      <c r="BR76" s="70"/>
      <c r="BS76" s="70"/>
      <c r="BT76" s="70"/>
      <c r="BU76" s="70"/>
      <c r="BV76" s="70"/>
      <c r="BW76" s="70"/>
      <c r="BX76" s="70"/>
    </row>
    <row r="77" s="23" customFormat="1" ht="72" customHeight="1" outlineLevel="2" spans="1:76">
      <c r="A77" s="93">
        <f>A76+1</f>
        <v>2</v>
      </c>
      <c r="B77" s="94" t="s">
        <v>583</v>
      </c>
      <c r="C77" s="95" t="s">
        <v>584</v>
      </c>
      <c r="D77" s="50" t="s">
        <v>70</v>
      </c>
      <c r="E77" s="51">
        <v>13.6</v>
      </c>
      <c r="F77" s="96">
        <f>$F$29</f>
        <v>18</v>
      </c>
      <c r="G77" s="96">
        <f>$G$29</f>
        <v>145</v>
      </c>
      <c r="H77" s="96">
        <f>$H$29</f>
        <v>1.5</v>
      </c>
      <c r="I77" s="54">
        <f>(F77+G77+H77)*$I$3</f>
        <v>16.45</v>
      </c>
      <c r="J77" s="54">
        <f>F77+G77+H77+I77</f>
        <v>180.95</v>
      </c>
      <c r="K77" s="97">
        <f>ROUND(E77*J77,2)</f>
        <v>2460.92</v>
      </c>
      <c r="L77" s="98" t="s">
        <v>538</v>
      </c>
      <c r="M77" s="70"/>
      <c r="N77" s="70"/>
      <c r="O77" s="70"/>
      <c r="P77" s="37">
        <f>Q77+Q77*R77+S77+T77+U77</f>
        <v>164.5</v>
      </c>
      <c r="Q77" s="99">
        <f>$Q$29</f>
        <v>145</v>
      </c>
      <c r="R77" s="99">
        <f>$R$29</f>
        <v>0</v>
      </c>
      <c r="S77" s="99">
        <f>$S$29</f>
        <v>18</v>
      </c>
      <c r="T77" s="99">
        <f>$T$29</f>
        <v>1.5</v>
      </c>
      <c r="U77" s="99">
        <f>$U$29</f>
        <v>0</v>
      </c>
      <c r="V77" s="37">
        <f>P77*E77</f>
        <v>2237.2</v>
      </c>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c r="BQ77" s="70"/>
      <c r="BR77" s="70"/>
      <c r="BS77" s="70"/>
      <c r="BT77" s="70"/>
      <c r="BU77" s="70"/>
      <c r="BV77" s="70"/>
      <c r="BW77" s="70"/>
      <c r="BX77" s="70"/>
    </row>
    <row r="78" s="23" customFormat="1" ht="72" customHeight="1" outlineLevel="2" spans="1:76">
      <c r="A78" s="93">
        <f>A77+1</f>
        <v>3</v>
      </c>
      <c r="B78" s="94" t="s">
        <v>591</v>
      </c>
      <c r="C78" s="95" t="s">
        <v>592</v>
      </c>
      <c r="D78" s="50" t="s">
        <v>70</v>
      </c>
      <c r="E78" s="51">
        <v>36.295</v>
      </c>
      <c r="F78" s="96">
        <f>$F$33</f>
        <v>8</v>
      </c>
      <c r="G78" s="96">
        <f>$G$33</f>
        <v>35</v>
      </c>
      <c r="H78" s="96">
        <f>$H$33</f>
        <v>0.5</v>
      </c>
      <c r="I78" s="54">
        <f>(F78+G78+H78)*$I$3</f>
        <v>4.35</v>
      </c>
      <c r="J78" s="54">
        <f>F78+G78+H78+I78</f>
        <v>47.85</v>
      </c>
      <c r="K78" s="97">
        <f>ROUND(E78*J78,2)</f>
        <v>1736.72</v>
      </c>
      <c r="L78" s="98" t="s">
        <v>538</v>
      </c>
      <c r="M78" s="70"/>
      <c r="N78" s="70"/>
      <c r="O78" s="70"/>
      <c r="P78" s="37">
        <f>Q78+Q78*R78+S78+T78+U78</f>
        <v>43.5</v>
      </c>
      <c r="Q78" s="99">
        <f>$Q$33</f>
        <v>35</v>
      </c>
      <c r="R78" s="99">
        <f>$R$33</f>
        <v>0</v>
      </c>
      <c r="S78" s="99">
        <f>$S$33</f>
        <v>8</v>
      </c>
      <c r="T78" s="99">
        <f>$T$33</f>
        <v>0.5</v>
      </c>
      <c r="U78" s="99">
        <f>$U$33</f>
        <v>0</v>
      </c>
      <c r="V78" s="37">
        <f>P78*E78</f>
        <v>1578.8325</v>
      </c>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V78" s="70"/>
      <c r="BW78" s="70"/>
      <c r="BX78" s="70"/>
    </row>
    <row r="79" ht="20" customHeight="1" outlineLevel="1" spans="1:76">
      <c r="A79" s="86"/>
      <c r="B79" s="87" t="s">
        <v>683</v>
      </c>
      <c r="C79" s="88"/>
      <c r="D79" s="89"/>
      <c r="E79" s="51"/>
      <c r="F79" s="90"/>
      <c r="G79" s="90"/>
      <c r="H79" s="90"/>
      <c r="I79" s="54"/>
      <c r="J79" s="91"/>
      <c r="K79" s="100">
        <f>SUM(K80:K82)</f>
        <v>28171.57</v>
      </c>
      <c r="L79" s="86"/>
      <c r="P79" s="92"/>
      <c r="Q79" s="92"/>
      <c r="R79" s="92"/>
      <c r="S79" s="92"/>
      <c r="T79" s="92"/>
      <c r="U79" s="92"/>
      <c r="V79" s="92"/>
    </row>
    <row r="80" s="23" customFormat="1" ht="60" customHeight="1" outlineLevel="2" spans="1:76">
      <c r="A80" s="93">
        <f>A79+1</f>
        <v>1</v>
      </c>
      <c r="B80" s="94" t="s">
        <v>539</v>
      </c>
      <c r="C80" s="95" t="s">
        <v>540</v>
      </c>
      <c r="D80" s="50" t="s">
        <v>156</v>
      </c>
      <c r="E80" s="51">
        <v>78</v>
      </c>
      <c r="F80" s="96">
        <f>$F$7</f>
        <v>18</v>
      </c>
      <c r="G80" s="96">
        <f>$G$7</f>
        <v>120</v>
      </c>
      <c r="H80" s="96">
        <f>$H$7</f>
        <v>1.5</v>
      </c>
      <c r="I80" s="54">
        <f>(F80+G80+H80)*$I$3</f>
        <v>13.95</v>
      </c>
      <c r="J80" s="54">
        <f>F80+G80+H80+I80</f>
        <v>153.45</v>
      </c>
      <c r="K80" s="97">
        <f>ROUND(E80*J80,2)</f>
        <v>11969.1</v>
      </c>
      <c r="L80" s="98" t="s">
        <v>538</v>
      </c>
      <c r="M80" s="70"/>
      <c r="N80" s="70"/>
      <c r="O80" s="70"/>
      <c r="P80" s="37">
        <f>Q80+Q80*R80+S80+T80+U80</f>
        <v>139.5</v>
      </c>
      <c r="Q80" s="99">
        <f>$Q$7</f>
        <v>120</v>
      </c>
      <c r="R80" s="99">
        <f>$R$7</f>
        <v>0</v>
      </c>
      <c r="S80" s="99">
        <f>$S$7</f>
        <v>18</v>
      </c>
      <c r="T80" s="99">
        <f>$T$7</f>
        <v>1.5</v>
      </c>
      <c r="U80" s="99">
        <f>$U$7</f>
        <v>0</v>
      </c>
      <c r="V80" s="37">
        <f>P80*E80</f>
        <v>10881</v>
      </c>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row>
    <row r="81" s="23" customFormat="1" ht="72" customHeight="1" outlineLevel="2" spans="1:76">
      <c r="A81" s="93">
        <f>A80+1</f>
        <v>2</v>
      </c>
      <c r="B81" s="94" t="s">
        <v>583</v>
      </c>
      <c r="C81" s="95" t="s">
        <v>584</v>
      </c>
      <c r="D81" s="50" t="s">
        <v>70</v>
      </c>
      <c r="E81" s="51">
        <v>40.8</v>
      </c>
      <c r="F81" s="96">
        <f>$F$29</f>
        <v>18</v>
      </c>
      <c r="G81" s="96">
        <f>$G$29</f>
        <v>145</v>
      </c>
      <c r="H81" s="96">
        <f>$H$29</f>
        <v>1.5</v>
      </c>
      <c r="I81" s="54">
        <f>(F81+G81+H81)*$I$3</f>
        <v>16.45</v>
      </c>
      <c r="J81" s="54">
        <f>F81+G81+H81+I81</f>
        <v>180.95</v>
      </c>
      <c r="K81" s="97">
        <f>ROUND(E81*J81,2)</f>
        <v>7382.76</v>
      </c>
      <c r="L81" s="98" t="s">
        <v>538</v>
      </c>
      <c r="M81" s="70"/>
      <c r="N81" s="70"/>
      <c r="O81" s="70"/>
      <c r="P81" s="37">
        <f>Q81+Q81*R81+S81+T81+U81</f>
        <v>164.5</v>
      </c>
      <c r="Q81" s="99">
        <f>$Q$29</f>
        <v>145</v>
      </c>
      <c r="R81" s="99">
        <f>$R$29</f>
        <v>0</v>
      </c>
      <c r="S81" s="99">
        <f>$S$29</f>
        <v>18</v>
      </c>
      <c r="T81" s="99">
        <f>$T$29</f>
        <v>1.5</v>
      </c>
      <c r="U81" s="99">
        <f>$U$29</f>
        <v>0</v>
      </c>
      <c r="V81" s="37">
        <f>P81*E81</f>
        <v>6711.6</v>
      </c>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row>
    <row r="82" s="23" customFormat="1" ht="72" customHeight="1" outlineLevel="2" spans="1:76">
      <c r="A82" s="93">
        <f>A81+1</f>
        <v>3</v>
      </c>
      <c r="B82" s="94" t="s">
        <v>591</v>
      </c>
      <c r="C82" s="95" t="s">
        <v>592</v>
      </c>
      <c r="D82" s="50" t="s">
        <v>70</v>
      </c>
      <c r="E82" s="51">
        <v>184.32</v>
      </c>
      <c r="F82" s="96">
        <f>$F$33</f>
        <v>8</v>
      </c>
      <c r="G82" s="96">
        <f>$G$33</f>
        <v>35</v>
      </c>
      <c r="H82" s="96">
        <f>$H$33</f>
        <v>0.5</v>
      </c>
      <c r="I82" s="54">
        <f>(F82+G82+H82)*$I$3</f>
        <v>4.35</v>
      </c>
      <c r="J82" s="54">
        <f>F82+G82+H82+I82</f>
        <v>47.85</v>
      </c>
      <c r="K82" s="97">
        <f>ROUND(E82*J82,2)</f>
        <v>8819.71</v>
      </c>
      <c r="L82" s="98" t="s">
        <v>538</v>
      </c>
      <c r="M82" s="70"/>
      <c r="N82" s="70"/>
      <c r="O82" s="70"/>
      <c r="P82" s="37">
        <f>Q82+Q82*R82+S82+T82+U82</f>
        <v>43.5</v>
      </c>
      <c r="Q82" s="99">
        <f>$Q$33</f>
        <v>35</v>
      </c>
      <c r="R82" s="99">
        <f>$R$33</f>
        <v>0</v>
      </c>
      <c r="S82" s="99">
        <f>$S$33</f>
        <v>8</v>
      </c>
      <c r="T82" s="99">
        <f>$T$33</f>
        <v>0.5</v>
      </c>
      <c r="U82" s="99">
        <f>$U$33</f>
        <v>0</v>
      </c>
      <c r="V82" s="37">
        <f>P82*E82</f>
        <v>8017.92</v>
      </c>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c r="BQ82" s="70"/>
      <c r="BR82" s="70"/>
      <c r="BS82" s="70"/>
      <c r="BT82" s="70"/>
      <c r="BU82" s="70"/>
      <c r="BV82" s="70"/>
      <c r="BW82" s="70"/>
      <c r="BX82" s="70"/>
    </row>
    <row r="83" ht="20" customHeight="1" outlineLevel="1" spans="1:76">
      <c r="A83" s="86"/>
      <c r="B83" s="87" t="s">
        <v>684</v>
      </c>
      <c r="C83" s="88"/>
      <c r="D83" s="89"/>
      <c r="E83" s="51"/>
      <c r="F83" s="90"/>
      <c r="G83" s="90"/>
      <c r="H83" s="90"/>
      <c r="I83" s="54"/>
      <c r="J83" s="91"/>
      <c r="K83" s="100">
        <f>SUM(K84:K86)</f>
        <v>862.2</v>
      </c>
      <c r="L83" s="86"/>
      <c r="P83" s="92"/>
      <c r="Q83" s="92"/>
      <c r="R83" s="92"/>
      <c r="S83" s="92"/>
      <c r="T83" s="92"/>
      <c r="U83" s="92"/>
      <c r="V83" s="92"/>
    </row>
    <row r="84" s="23" customFormat="1" ht="60" customHeight="1" outlineLevel="2" spans="1:76">
      <c r="A84" s="93">
        <f>A83+1</f>
        <v>1</v>
      </c>
      <c r="B84" s="94" t="s">
        <v>555</v>
      </c>
      <c r="C84" s="95" t="s">
        <v>556</v>
      </c>
      <c r="D84" s="50" t="s">
        <v>156</v>
      </c>
      <c r="E84" s="51">
        <v>2</v>
      </c>
      <c r="F84" s="96">
        <f>$F$15</f>
        <v>35</v>
      </c>
      <c r="G84" s="96">
        <f>$G$15</f>
        <v>145</v>
      </c>
      <c r="H84" s="96">
        <f>$H$15</f>
        <v>1.5</v>
      </c>
      <c r="I84" s="54">
        <f>(F84+G84+H84)*$I$3</f>
        <v>18.15</v>
      </c>
      <c r="J84" s="54">
        <f>F84+G84+H84+I84</f>
        <v>199.65</v>
      </c>
      <c r="K84" s="97">
        <f>ROUND(E84*J84,2)</f>
        <v>399.3</v>
      </c>
      <c r="L84" s="98" t="s">
        <v>538</v>
      </c>
      <c r="M84" s="70"/>
      <c r="N84" s="70"/>
      <c r="O84" s="70"/>
      <c r="P84" s="37">
        <f>Q84+Q84*R84+S84+T84+U84</f>
        <v>181.5</v>
      </c>
      <c r="Q84" s="99">
        <f>$Q$15</f>
        <v>145</v>
      </c>
      <c r="R84" s="99">
        <f>$R$15</f>
        <v>0</v>
      </c>
      <c r="S84" s="99">
        <f>$S$15</f>
        <v>35</v>
      </c>
      <c r="T84" s="99">
        <f>$T$15</f>
        <v>1.5</v>
      </c>
      <c r="U84" s="99">
        <f>$U$15</f>
        <v>0</v>
      </c>
      <c r="V84" s="37">
        <f>P84*E84</f>
        <v>363</v>
      </c>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c r="AV84" s="70"/>
      <c r="AW84" s="70"/>
      <c r="AX84" s="70"/>
      <c r="AY84" s="70"/>
      <c r="AZ84" s="70"/>
      <c r="BA84" s="70"/>
      <c r="BB84" s="70"/>
      <c r="BC84" s="70"/>
      <c r="BD84" s="70"/>
      <c r="BE84" s="70"/>
      <c r="BF84" s="70"/>
      <c r="BG84" s="70"/>
      <c r="BH84" s="70"/>
      <c r="BI84" s="70"/>
      <c r="BJ84" s="70"/>
      <c r="BK84" s="70"/>
      <c r="BL84" s="70"/>
      <c r="BM84" s="70"/>
      <c r="BN84" s="70"/>
      <c r="BO84" s="70"/>
      <c r="BP84" s="70"/>
      <c r="BQ84" s="70"/>
      <c r="BR84" s="70"/>
      <c r="BS84" s="70"/>
      <c r="BT84" s="70"/>
      <c r="BU84" s="70"/>
      <c r="BV84" s="70"/>
      <c r="BW84" s="70"/>
      <c r="BX84" s="70"/>
    </row>
    <row r="85" s="23" customFormat="1" ht="72" customHeight="1" outlineLevel="2" spans="1:76">
      <c r="A85" s="93">
        <f>A84+1</f>
        <v>2</v>
      </c>
      <c r="B85" s="94" t="s">
        <v>587</v>
      </c>
      <c r="C85" s="95" t="s">
        <v>588</v>
      </c>
      <c r="D85" s="50" t="s">
        <v>70</v>
      </c>
      <c r="E85" s="51">
        <v>6.98</v>
      </c>
      <c r="F85" s="96">
        <f>$F$31</f>
        <v>8</v>
      </c>
      <c r="G85" s="96">
        <f>$G$31</f>
        <v>22</v>
      </c>
      <c r="H85" s="96">
        <f>$H$31</f>
        <v>0.5</v>
      </c>
      <c r="I85" s="54">
        <f>(F85+G85+H85)*$I$3</f>
        <v>3.05</v>
      </c>
      <c r="J85" s="54">
        <f>F85+G85+H85+I85</f>
        <v>33.55</v>
      </c>
      <c r="K85" s="97">
        <f>ROUND(E85*J85,2)</f>
        <v>234.18</v>
      </c>
      <c r="L85" s="98" t="s">
        <v>538</v>
      </c>
      <c r="M85" s="70"/>
      <c r="N85" s="70"/>
      <c r="O85" s="70"/>
      <c r="P85" s="37">
        <f>Q85+Q85*R85+S85+T85+U85</f>
        <v>30.5</v>
      </c>
      <c r="Q85" s="99">
        <f>$Q$31</f>
        <v>22</v>
      </c>
      <c r="R85" s="99">
        <f>$R$31</f>
        <v>0</v>
      </c>
      <c r="S85" s="99">
        <f>$S$31</f>
        <v>8</v>
      </c>
      <c r="T85" s="99">
        <f>$T$31</f>
        <v>0.5</v>
      </c>
      <c r="U85" s="99">
        <f>$U$31</f>
        <v>0</v>
      </c>
      <c r="V85" s="37">
        <f>P85*E85</f>
        <v>212.89</v>
      </c>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0"/>
      <c r="AV85" s="70"/>
      <c r="AW85" s="70"/>
      <c r="AX85" s="70"/>
      <c r="AY85" s="70"/>
      <c r="AZ85" s="70"/>
      <c r="BA85" s="70"/>
      <c r="BB85" s="70"/>
      <c r="BC85" s="70"/>
      <c r="BD85" s="70"/>
      <c r="BE85" s="70"/>
      <c r="BF85" s="70"/>
      <c r="BG85" s="70"/>
      <c r="BH85" s="70"/>
      <c r="BI85" s="70"/>
      <c r="BJ85" s="70"/>
      <c r="BK85" s="70"/>
      <c r="BL85" s="70"/>
      <c r="BM85" s="70"/>
      <c r="BN85" s="70"/>
      <c r="BO85" s="70"/>
      <c r="BP85" s="70"/>
      <c r="BQ85" s="70"/>
      <c r="BR85" s="70"/>
      <c r="BS85" s="70"/>
      <c r="BT85" s="70"/>
      <c r="BU85" s="70"/>
      <c r="BV85" s="70"/>
      <c r="BW85" s="70"/>
      <c r="BX85" s="70"/>
    </row>
    <row r="86" s="23" customFormat="1" ht="72" customHeight="1" outlineLevel="2" spans="1:76">
      <c r="A86" s="93">
        <f>A85+1</f>
        <v>3</v>
      </c>
      <c r="B86" s="94" t="s">
        <v>591</v>
      </c>
      <c r="C86" s="95" t="s">
        <v>592</v>
      </c>
      <c r="D86" s="50" t="s">
        <v>70</v>
      </c>
      <c r="E86" s="51">
        <v>4.78</v>
      </c>
      <c r="F86" s="96">
        <f>$F$33</f>
        <v>8</v>
      </c>
      <c r="G86" s="96">
        <f>$G$33</f>
        <v>35</v>
      </c>
      <c r="H86" s="96">
        <f>$H$33</f>
        <v>0.5</v>
      </c>
      <c r="I86" s="54">
        <f>(F86+G86+H86)*$I$3</f>
        <v>4.35</v>
      </c>
      <c r="J86" s="54">
        <f>F86+G86+H86+I86</f>
        <v>47.85</v>
      </c>
      <c r="K86" s="97">
        <f>ROUND(E86*J86,2)</f>
        <v>228.72</v>
      </c>
      <c r="L86" s="98" t="s">
        <v>538</v>
      </c>
      <c r="M86" s="70"/>
      <c r="N86" s="70"/>
      <c r="O86" s="70"/>
      <c r="P86" s="37">
        <f>Q86+Q86*R86+S86+T86+U86</f>
        <v>43.5</v>
      </c>
      <c r="Q86" s="99">
        <f>$Q$33</f>
        <v>35</v>
      </c>
      <c r="R86" s="99">
        <f>$R$33</f>
        <v>0</v>
      </c>
      <c r="S86" s="99">
        <f>$S$33</f>
        <v>8</v>
      </c>
      <c r="T86" s="99">
        <f>$T$33</f>
        <v>0.5</v>
      </c>
      <c r="U86" s="99">
        <f>$U$33</f>
        <v>0</v>
      </c>
      <c r="V86" s="37">
        <f>P86*E86</f>
        <v>207.93</v>
      </c>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70"/>
      <c r="AZ86" s="70"/>
      <c r="BA86" s="70"/>
      <c r="BB86" s="70"/>
      <c r="BC86" s="70"/>
      <c r="BD86" s="70"/>
      <c r="BE86" s="70"/>
      <c r="BF86" s="70"/>
      <c r="BG86" s="70"/>
      <c r="BH86" s="70"/>
      <c r="BI86" s="70"/>
      <c r="BJ86" s="70"/>
      <c r="BK86" s="70"/>
      <c r="BL86" s="70"/>
      <c r="BM86" s="70"/>
      <c r="BN86" s="70"/>
      <c r="BO86" s="70"/>
      <c r="BP86" s="70"/>
      <c r="BQ86" s="70"/>
      <c r="BR86" s="70"/>
      <c r="BS86" s="70"/>
      <c r="BT86" s="70"/>
      <c r="BU86" s="70"/>
      <c r="BV86" s="70"/>
      <c r="BW86" s="70"/>
      <c r="BX86" s="70"/>
    </row>
    <row r="87" s="23" customFormat="1" ht="25" customHeight="1" spans="1:76">
      <c r="A87" s="101"/>
      <c r="B87" s="48" t="s">
        <v>685</v>
      </c>
      <c r="C87" s="102"/>
      <c r="D87" s="48"/>
      <c r="E87" s="103"/>
      <c r="F87" s="104"/>
      <c r="G87" s="104"/>
      <c r="H87" s="104"/>
      <c r="I87" s="54"/>
      <c r="J87" s="55"/>
      <c r="K87" s="55">
        <f>SUM(K88:K111)</f>
        <v>73557.13</v>
      </c>
      <c r="L87" s="105"/>
      <c r="M87" s="70"/>
      <c r="N87" s="70"/>
      <c r="O87" s="70"/>
      <c r="P87" s="106"/>
      <c r="Q87" s="106"/>
      <c r="R87" s="106"/>
      <c r="S87" s="106"/>
      <c r="T87" s="106"/>
      <c r="U87" s="106"/>
      <c r="V87" s="106"/>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0"/>
      <c r="BR87" s="70"/>
      <c r="BS87" s="70"/>
      <c r="BT87" s="70"/>
      <c r="BU87" s="70"/>
      <c r="BV87" s="70"/>
      <c r="BW87" s="70"/>
      <c r="BX87" s="70"/>
    </row>
    <row r="88" s="23" customFormat="1" ht="53" customHeight="1" outlineLevel="2" spans="1:76">
      <c r="A88" s="61" t="s">
        <v>686</v>
      </c>
      <c r="B88" s="62" t="s">
        <v>687</v>
      </c>
      <c r="C88" s="63" t="s">
        <v>688</v>
      </c>
      <c r="D88" s="64" t="s">
        <v>610</v>
      </c>
      <c r="E88" s="65">
        <v>3</v>
      </c>
      <c r="F88" s="66">
        <f t="shared" ref="F88:F111" si="9">S88*$S$1</f>
        <v>55</v>
      </c>
      <c r="G88" s="66">
        <f t="shared" ref="G88:G111" si="10">Q88*(1+R88)*$Q$1</f>
        <v>950</v>
      </c>
      <c r="H88" s="66">
        <f t="shared" ref="H88:H111" si="11">(T88+U88)*$T$1</f>
        <v>44.8</v>
      </c>
      <c r="I88" s="67">
        <f t="shared" ref="I88:I111" si="12">(F88+G88+H88)*$I$3</f>
        <v>104.98</v>
      </c>
      <c r="J88" s="67">
        <f t="shared" ref="J88:J111" si="13">F88+G88+H88+I88</f>
        <v>1154.78</v>
      </c>
      <c r="K88" s="68" t="s">
        <v>689</v>
      </c>
      <c r="L88" s="69" t="s">
        <v>690</v>
      </c>
      <c r="M88" s="70"/>
      <c r="N88" s="70"/>
      <c r="O88" s="70"/>
      <c r="P88" s="37">
        <f t="shared" ref="P88:P111" si="14">Q88+Q88*R88+S88+T88+U88</f>
        <v>1049.8</v>
      </c>
      <c r="Q88" s="71">
        <v>950</v>
      </c>
      <c r="R88" s="71">
        <v>0</v>
      </c>
      <c r="S88" s="71">
        <v>55</v>
      </c>
      <c r="T88" s="71">
        <f>22*2</f>
        <v>44</v>
      </c>
      <c r="U88" s="71">
        <v>0.8</v>
      </c>
      <c r="V88" s="37">
        <f t="shared" ref="V88:V111" si="15">P88*E88</f>
        <v>3149.4</v>
      </c>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70"/>
      <c r="AZ88" s="70"/>
      <c r="BA88" s="70"/>
      <c r="BB88" s="70"/>
      <c r="BC88" s="70"/>
      <c r="BD88" s="70"/>
      <c r="BE88" s="70"/>
      <c r="BF88" s="70"/>
      <c r="BG88" s="70"/>
      <c r="BH88" s="70"/>
      <c r="BI88" s="70"/>
      <c r="BJ88" s="70"/>
      <c r="BK88" s="70"/>
      <c r="BL88" s="70"/>
      <c r="BM88" s="70"/>
      <c r="BN88" s="70"/>
      <c r="BO88" s="70"/>
      <c r="BP88" s="70"/>
      <c r="BQ88" s="70"/>
      <c r="BR88" s="70"/>
      <c r="BS88" s="70"/>
      <c r="BT88" s="70"/>
      <c r="BU88" s="70"/>
      <c r="BV88" s="70"/>
      <c r="BW88" s="70"/>
      <c r="BX88" s="70"/>
    </row>
    <row r="89" s="23" customFormat="1" ht="53" customHeight="1" outlineLevel="2" spans="1:76">
      <c r="A89" s="61">
        <f t="shared" ref="A89:A98" si="16">A88+1</f>
        <v>2</v>
      </c>
      <c r="B89" s="62" t="s">
        <v>691</v>
      </c>
      <c r="C89" s="63" t="s">
        <v>692</v>
      </c>
      <c r="D89" s="64" t="s">
        <v>610</v>
      </c>
      <c r="E89" s="65">
        <v>3</v>
      </c>
      <c r="F89" s="66">
        <f t="shared" si="9"/>
        <v>45</v>
      </c>
      <c r="G89" s="66">
        <f t="shared" si="10"/>
        <v>450</v>
      </c>
      <c r="H89" s="66">
        <f t="shared" si="11"/>
        <v>93.8</v>
      </c>
      <c r="I89" s="67">
        <f t="shared" si="12"/>
        <v>58.88</v>
      </c>
      <c r="J89" s="67">
        <f t="shared" si="13"/>
        <v>647.68</v>
      </c>
      <c r="K89" s="68">
        <f t="shared" ref="K88:K111" si="17">ROUND(E89*J89,2)</f>
        <v>1943.04</v>
      </c>
      <c r="L89" s="69" t="s">
        <v>693</v>
      </c>
      <c r="M89" s="70"/>
      <c r="N89" s="70"/>
      <c r="O89" s="70"/>
      <c r="P89" s="37">
        <f t="shared" si="14"/>
        <v>588.8</v>
      </c>
      <c r="Q89" s="71">
        <v>450</v>
      </c>
      <c r="R89" s="71">
        <v>0</v>
      </c>
      <c r="S89" s="71">
        <v>45</v>
      </c>
      <c r="T89" s="71">
        <v>93</v>
      </c>
      <c r="U89" s="71">
        <v>0.8</v>
      </c>
      <c r="V89" s="37">
        <f t="shared" si="15"/>
        <v>1766.4</v>
      </c>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c r="BX89" s="70"/>
    </row>
    <row r="90" s="23" customFormat="1" ht="53" customHeight="1" outlineLevel="2" spans="1:76">
      <c r="A90" s="61">
        <f t="shared" si="16"/>
        <v>3</v>
      </c>
      <c r="B90" s="62" t="s">
        <v>694</v>
      </c>
      <c r="C90" s="63" t="s">
        <v>695</v>
      </c>
      <c r="D90" s="64" t="s">
        <v>610</v>
      </c>
      <c r="E90" s="65">
        <v>2</v>
      </c>
      <c r="F90" s="66">
        <f t="shared" si="9"/>
        <v>55</v>
      </c>
      <c r="G90" s="66">
        <f t="shared" si="10"/>
        <v>320</v>
      </c>
      <c r="H90" s="66">
        <f t="shared" si="11"/>
        <v>44.8</v>
      </c>
      <c r="I90" s="67">
        <f t="shared" si="12"/>
        <v>41.98</v>
      </c>
      <c r="J90" s="67">
        <f t="shared" si="13"/>
        <v>461.78</v>
      </c>
      <c r="K90" s="68">
        <f t="shared" si="17"/>
        <v>923.56</v>
      </c>
      <c r="L90" s="69" t="s">
        <v>696</v>
      </c>
      <c r="M90" s="70">
        <v>1</v>
      </c>
      <c r="N90" s="70"/>
      <c r="O90" s="70"/>
      <c r="P90" s="37">
        <f t="shared" si="14"/>
        <v>419.8</v>
      </c>
      <c r="Q90" s="71">
        <v>320</v>
      </c>
      <c r="R90" s="71">
        <v>0</v>
      </c>
      <c r="S90" s="71">
        <v>55</v>
      </c>
      <c r="T90" s="71">
        <f>22*2</f>
        <v>44</v>
      </c>
      <c r="U90" s="71">
        <v>0.8</v>
      </c>
      <c r="V90" s="37">
        <f t="shared" si="15"/>
        <v>839.6</v>
      </c>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c r="BK90" s="70"/>
      <c r="BL90" s="70"/>
      <c r="BM90" s="70"/>
      <c r="BN90" s="70"/>
      <c r="BO90" s="70"/>
      <c r="BP90" s="70"/>
      <c r="BQ90" s="70"/>
      <c r="BR90" s="70"/>
      <c r="BS90" s="70"/>
      <c r="BT90" s="70"/>
      <c r="BU90" s="70"/>
      <c r="BV90" s="70"/>
      <c r="BW90" s="70"/>
      <c r="BX90" s="70"/>
    </row>
    <row r="91" s="23" customFormat="1" ht="53" customHeight="1" outlineLevel="2" spans="1:76">
      <c r="A91" s="61">
        <f t="shared" si="16"/>
        <v>4</v>
      </c>
      <c r="B91" s="62" t="s">
        <v>697</v>
      </c>
      <c r="C91" s="63" t="s">
        <v>698</v>
      </c>
      <c r="D91" s="64" t="s">
        <v>610</v>
      </c>
      <c r="E91" s="65">
        <f>+E90+E99</f>
        <v>6</v>
      </c>
      <c r="F91" s="66">
        <f t="shared" si="9"/>
        <v>45</v>
      </c>
      <c r="G91" s="66">
        <f t="shared" si="10"/>
        <v>785</v>
      </c>
      <c r="H91" s="66">
        <f t="shared" si="11"/>
        <v>93.8</v>
      </c>
      <c r="I91" s="67">
        <f t="shared" si="12"/>
        <v>92.38</v>
      </c>
      <c r="J91" s="67">
        <f t="shared" si="13"/>
        <v>1016.18</v>
      </c>
      <c r="K91" s="68">
        <f t="shared" si="17"/>
        <v>6097.08</v>
      </c>
      <c r="L91" s="69" t="s">
        <v>696</v>
      </c>
      <c r="M91" s="70"/>
      <c r="N91" s="70"/>
      <c r="O91" s="70"/>
      <c r="P91" s="37">
        <f t="shared" si="14"/>
        <v>923.8</v>
      </c>
      <c r="Q91" s="71">
        <v>785</v>
      </c>
      <c r="R91" s="71">
        <v>0</v>
      </c>
      <c r="S91" s="71">
        <v>45</v>
      </c>
      <c r="T91" s="71">
        <v>93</v>
      </c>
      <c r="U91" s="71">
        <v>0.8</v>
      </c>
      <c r="V91" s="37">
        <f t="shared" si="15"/>
        <v>5542.8</v>
      </c>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0"/>
      <c r="BX91" s="70"/>
    </row>
    <row r="92" s="23" customFormat="1" ht="75" customHeight="1" outlineLevel="2" spans="1:76">
      <c r="A92" s="61">
        <f t="shared" si="16"/>
        <v>5</v>
      </c>
      <c r="B92" s="62" t="s">
        <v>699</v>
      </c>
      <c r="C92" s="63" t="s">
        <v>700</v>
      </c>
      <c r="D92" s="64" t="s">
        <v>610</v>
      </c>
      <c r="E92" s="65">
        <v>7</v>
      </c>
      <c r="F92" s="66">
        <f t="shared" si="9"/>
        <v>100</v>
      </c>
      <c r="G92" s="66">
        <f t="shared" si="10"/>
        <v>3200</v>
      </c>
      <c r="H92" s="66">
        <f t="shared" si="11"/>
        <v>5</v>
      </c>
      <c r="I92" s="67">
        <f t="shared" si="12"/>
        <v>330.5</v>
      </c>
      <c r="J92" s="67">
        <f t="shared" si="13"/>
        <v>3635.5</v>
      </c>
      <c r="K92" s="68">
        <f t="shared" si="17"/>
        <v>25448.5</v>
      </c>
      <c r="L92" s="69" t="s">
        <v>701</v>
      </c>
      <c r="M92" s="70"/>
      <c r="N92" s="70"/>
      <c r="O92" s="70"/>
      <c r="P92" s="37">
        <f t="shared" si="14"/>
        <v>3305</v>
      </c>
      <c r="Q92" s="71">
        <v>3200</v>
      </c>
      <c r="R92" s="71"/>
      <c r="S92" s="71">
        <v>100</v>
      </c>
      <c r="T92" s="71">
        <v>5</v>
      </c>
      <c r="U92" s="71"/>
      <c r="V92" s="37">
        <f t="shared" si="15"/>
        <v>23135</v>
      </c>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row>
    <row r="93" s="23" customFormat="1" ht="49" customHeight="1" outlineLevel="2" spans="1:76">
      <c r="A93" s="61">
        <f t="shared" si="16"/>
        <v>6</v>
      </c>
      <c r="B93" s="62" t="s">
        <v>702</v>
      </c>
      <c r="C93" s="63" t="s">
        <v>703</v>
      </c>
      <c r="D93" s="64" t="s">
        <v>610</v>
      </c>
      <c r="E93" s="65">
        <v>1</v>
      </c>
      <c r="F93" s="66">
        <f t="shared" si="9"/>
        <v>85</v>
      </c>
      <c r="G93" s="66">
        <f t="shared" si="10"/>
        <v>1100</v>
      </c>
      <c r="H93" s="66">
        <f t="shared" si="11"/>
        <v>5</v>
      </c>
      <c r="I93" s="67">
        <f t="shared" si="12"/>
        <v>119</v>
      </c>
      <c r="J93" s="67">
        <f t="shared" si="13"/>
        <v>1309</v>
      </c>
      <c r="K93" s="68">
        <f t="shared" si="17"/>
        <v>1309</v>
      </c>
      <c r="L93" s="69" t="s">
        <v>704</v>
      </c>
      <c r="M93" s="70"/>
      <c r="N93" s="70"/>
      <c r="O93" s="70"/>
      <c r="P93" s="37">
        <f t="shared" si="14"/>
        <v>1190</v>
      </c>
      <c r="Q93" s="71">
        <v>1100</v>
      </c>
      <c r="R93" s="71"/>
      <c r="S93" s="71">
        <v>85</v>
      </c>
      <c r="T93" s="71">
        <v>5</v>
      </c>
      <c r="U93" s="71"/>
      <c r="V93" s="37">
        <f t="shared" si="15"/>
        <v>1190</v>
      </c>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row>
    <row r="94" s="23" customFormat="1" ht="49" customHeight="1" outlineLevel="2" spans="1:76">
      <c r="A94" s="61">
        <f t="shared" si="16"/>
        <v>7</v>
      </c>
      <c r="B94" s="62" t="s">
        <v>705</v>
      </c>
      <c r="C94" s="63" t="s">
        <v>706</v>
      </c>
      <c r="D94" s="64" t="s">
        <v>610</v>
      </c>
      <c r="E94" s="65">
        <v>4</v>
      </c>
      <c r="F94" s="66">
        <f t="shared" si="9"/>
        <v>100</v>
      </c>
      <c r="G94" s="66">
        <f t="shared" si="10"/>
        <v>850</v>
      </c>
      <c r="H94" s="66">
        <f t="shared" si="11"/>
        <v>5</v>
      </c>
      <c r="I94" s="67">
        <f t="shared" si="12"/>
        <v>95.5</v>
      </c>
      <c r="J94" s="67">
        <f t="shared" si="13"/>
        <v>1050.5</v>
      </c>
      <c r="K94" s="68">
        <f t="shared" si="17"/>
        <v>4202</v>
      </c>
      <c r="L94" s="69" t="s">
        <v>707</v>
      </c>
      <c r="M94" s="70"/>
      <c r="N94" s="70"/>
      <c r="O94" s="70"/>
      <c r="P94" s="37">
        <f t="shared" si="14"/>
        <v>955</v>
      </c>
      <c r="Q94" s="71">
        <v>850</v>
      </c>
      <c r="R94" s="85"/>
      <c r="S94" s="84">
        <v>100</v>
      </c>
      <c r="T94" s="84">
        <v>5</v>
      </c>
      <c r="U94" s="71"/>
      <c r="V94" s="37">
        <f t="shared" si="15"/>
        <v>3820</v>
      </c>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0"/>
      <c r="AV94" s="70"/>
      <c r="AW94" s="70"/>
      <c r="AX94" s="70"/>
      <c r="AY94" s="70"/>
      <c r="AZ94" s="70"/>
      <c r="BA94" s="70"/>
      <c r="BB94" s="70"/>
      <c r="BC94" s="70"/>
      <c r="BD94" s="70"/>
      <c r="BE94" s="70"/>
      <c r="BF94" s="70"/>
      <c r="BG94" s="70"/>
      <c r="BH94" s="70"/>
      <c r="BI94" s="70"/>
      <c r="BJ94" s="70"/>
      <c r="BK94" s="70"/>
      <c r="BL94" s="70"/>
      <c r="BM94" s="70"/>
      <c r="BN94" s="70"/>
      <c r="BO94" s="70"/>
      <c r="BP94" s="70"/>
      <c r="BQ94" s="70"/>
      <c r="BR94" s="70"/>
      <c r="BS94" s="70"/>
      <c r="BT94" s="70"/>
      <c r="BU94" s="70"/>
      <c r="BV94" s="70"/>
      <c r="BW94" s="70"/>
      <c r="BX94" s="70"/>
    </row>
    <row r="95" s="23" customFormat="1" ht="48" customHeight="1" outlineLevel="2" spans="1:76">
      <c r="A95" s="61">
        <f t="shared" si="16"/>
        <v>8</v>
      </c>
      <c r="B95" s="62" t="s">
        <v>708</v>
      </c>
      <c r="C95" s="63" t="s">
        <v>709</v>
      </c>
      <c r="D95" s="64" t="s">
        <v>610</v>
      </c>
      <c r="E95" s="65">
        <v>1</v>
      </c>
      <c r="F95" s="66">
        <f t="shared" si="9"/>
        <v>85</v>
      </c>
      <c r="G95" s="66">
        <f t="shared" si="10"/>
        <v>291</v>
      </c>
      <c r="H95" s="66">
        <f t="shared" si="11"/>
        <v>5</v>
      </c>
      <c r="I95" s="67">
        <f t="shared" si="12"/>
        <v>38.1</v>
      </c>
      <c r="J95" s="67">
        <f t="shared" si="13"/>
        <v>419.1</v>
      </c>
      <c r="K95" s="68">
        <f t="shared" si="17"/>
        <v>419.1</v>
      </c>
      <c r="L95" s="69"/>
      <c r="M95" s="70"/>
      <c r="N95" s="70"/>
      <c r="O95" s="70"/>
      <c r="P95" s="37">
        <f t="shared" si="14"/>
        <v>381</v>
      </c>
      <c r="Q95" s="71">
        <v>291</v>
      </c>
      <c r="R95" s="85"/>
      <c r="S95" s="84">
        <v>85</v>
      </c>
      <c r="T95" s="84">
        <v>5</v>
      </c>
      <c r="U95" s="71"/>
      <c r="V95" s="37">
        <f t="shared" si="15"/>
        <v>381</v>
      </c>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0"/>
      <c r="AV95" s="70"/>
      <c r="AW95" s="70"/>
      <c r="AX95" s="70"/>
      <c r="AY95" s="70"/>
      <c r="AZ95" s="70"/>
      <c r="BA95" s="70"/>
      <c r="BB95" s="70"/>
      <c r="BC95" s="70"/>
      <c r="BD95" s="70"/>
      <c r="BE95" s="70"/>
      <c r="BF95" s="70"/>
      <c r="BG95" s="70"/>
      <c r="BH95" s="70"/>
      <c r="BI95" s="70"/>
      <c r="BJ95" s="70"/>
      <c r="BK95" s="70"/>
      <c r="BL95" s="70"/>
      <c r="BM95" s="70"/>
      <c r="BN95" s="70"/>
      <c r="BO95" s="70"/>
      <c r="BP95" s="70"/>
      <c r="BQ95" s="70"/>
      <c r="BR95" s="70"/>
      <c r="BS95" s="70"/>
      <c r="BT95" s="70"/>
      <c r="BU95" s="70"/>
      <c r="BV95" s="70"/>
      <c r="BW95" s="70"/>
      <c r="BX95" s="70"/>
    </row>
    <row r="96" s="23" customFormat="1" ht="48" customHeight="1" outlineLevel="2" spans="1:76">
      <c r="A96" s="61">
        <f t="shared" si="16"/>
        <v>9</v>
      </c>
      <c r="B96" s="62" t="s">
        <v>710</v>
      </c>
      <c r="C96" s="63" t="s">
        <v>711</v>
      </c>
      <c r="D96" s="64" t="s">
        <v>610</v>
      </c>
      <c r="E96" s="65">
        <v>2</v>
      </c>
      <c r="F96" s="66">
        <f t="shared" si="9"/>
        <v>20</v>
      </c>
      <c r="G96" s="66">
        <f t="shared" si="10"/>
        <v>36</v>
      </c>
      <c r="H96" s="66">
        <f t="shared" si="11"/>
        <v>0.8</v>
      </c>
      <c r="I96" s="67">
        <f t="shared" si="12"/>
        <v>5.68</v>
      </c>
      <c r="J96" s="67">
        <f t="shared" si="13"/>
        <v>62.48</v>
      </c>
      <c r="K96" s="68">
        <f t="shared" si="17"/>
        <v>124.96</v>
      </c>
      <c r="L96" s="69"/>
      <c r="M96" s="70"/>
      <c r="N96" s="70"/>
      <c r="O96" s="70"/>
      <c r="P96" s="37">
        <f t="shared" si="14"/>
        <v>56.8</v>
      </c>
      <c r="Q96" s="81">
        <v>36</v>
      </c>
      <c r="R96" s="83"/>
      <c r="S96" s="81">
        <v>20</v>
      </c>
      <c r="T96" s="81">
        <v>0.8</v>
      </c>
      <c r="U96" s="71"/>
      <c r="V96" s="37">
        <f t="shared" si="15"/>
        <v>113.6</v>
      </c>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0"/>
      <c r="AV96" s="70"/>
      <c r="AW96" s="70"/>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row>
    <row r="97" s="23" customFormat="1" ht="48" customHeight="1" outlineLevel="2" spans="1:76">
      <c r="A97" s="61">
        <f t="shared" si="16"/>
        <v>10</v>
      </c>
      <c r="B97" s="62" t="s">
        <v>712</v>
      </c>
      <c r="C97" s="63" t="s">
        <v>713</v>
      </c>
      <c r="D97" s="64" t="s">
        <v>156</v>
      </c>
      <c r="E97" s="65">
        <v>4</v>
      </c>
      <c r="F97" s="66">
        <f t="shared" si="9"/>
        <v>85</v>
      </c>
      <c r="G97" s="66">
        <f t="shared" si="10"/>
        <v>1050</v>
      </c>
      <c r="H97" s="66">
        <f t="shared" si="11"/>
        <v>25</v>
      </c>
      <c r="I97" s="67">
        <f t="shared" si="12"/>
        <v>116</v>
      </c>
      <c r="J97" s="67">
        <f t="shared" si="13"/>
        <v>1276</v>
      </c>
      <c r="K97" s="68">
        <f t="shared" si="17"/>
        <v>5104</v>
      </c>
      <c r="L97" s="69" t="s">
        <v>714</v>
      </c>
      <c r="M97" s="70"/>
      <c r="N97" s="70"/>
      <c r="O97" s="70"/>
      <c r="P97" s="37">
        <f t="shared" si="14"/>
        <v>1160</v>
      </c>
      <c r="Q97" s="71">
        <v>1050</v>
      </c>
      <c r="R97" s="71">
        <v>0</v>
      </c>
      <c r="S97" s="71">
        <v>85</v>
      </c>
      <c r="T97" s="84">
        <v>25</v>
      </c>
      <c r="U97" s="71"/>
      <c r="V97" s="37">
        <f t="shared" si="15"/>
        <v>4640</v>
      </c>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row>
    <row r="98" s="23" customFormat="1" ht="48" customHeight="1" outlineLevel="2" spans="1:76">
      <c r="A98" s="61">
        <f t="shared" si="16"/>
        <v>11</v>
      </c>
      <c r="B98" s="62" t="s">
        <v>715</v>
      </c>
      <c r="C98" s="63" t="s">
        <v>716</v>
      </c>
      <c r="D98" s="64" t="s">
        <v>610</v>
      </c>
      <c r="E98" s="65">
        <v>14</v>
      </c>
      <c r="F98" s="66">
        <f t="shared" si="9"/>
        <v>25</v>
      </c>
      <c r="G98" s="66">
        <f t="shared" si="10"/>
        <v>55</v>
      </c>
      <c r="H98" s="66">
        <f t="shared" si="11"/>
        <v>1.5</v>
      </c>
      <c r="I98" s="67">
        <f t="shared" si="12"/>
        <v>8.15</v>
      </c>
      <c r="J98" s="67">
        <f t="shared" si="13"/>
        <v>89.65</v>
      </c>
      <c r="K98" s="68">
        <f t="shared" si="17"/>
        <v>1255.1</v>
      </c>
      <c r="L98" s="69"/>
      <c r="M98" s="70"/>
      <c r="N98" s="70"/>
      <c r="O98" s="70"/>
      <c r="P98" s="37">
        <f t="shared" si="14"/>
        <v>81.5</v>
      </c>
      <c r="Q98" s="107">
        <v>55</v>
      </c>
      <c r="R98" s="108"/>
      <c r="S98" s="107">
        <v>25</v>
      </c>
      <c r="T98" s="84">
        <v>1.5</v>
      </c>
      <c r="U98" s="71"/>
      <c r="V98" s="37">
        <f t="shared" si="15"/>
        <v>1141</v>
      </c>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row>
    <row r="99" s="23" customFormat="1" ht="51" customHeight="1" outlineLevel="2" spans="1:76">
      <c r="A99" s="61">
        <f>A97+1</f>
        <v>11</v>
      </c>
      <c r="B99" s="62" t="s">
        <v>717</v>
      </c>
      <c r="C99" s="63" t="s">
        <v>718</v>
      </c>
      <c r="D99" s="64" t="s">
        <v>610</v>
      </c>
      <c r="E99" s="65">
        <v>4</v>
      </c>
      <c r="F99" s="66">
        <f t="shared" si="9"/>
        <v>55</v>
      </c>
      <c r="G99" s="66">
        <f t="shared" si="10"/>
        <v>235</v>
      </c>
      <c r="H99" s="66">
        <f t="shared" si="11"/>
        <v>44.8</v>
      </c>
      <c r="I99" s="67">
        <f t="shared" si="12"/>
        <v>33.48</v>
      </c>
      <c r="J99" s="67">
        <f t="shared" si="13"/>
        <v>368.28</v>
      </c>
      <c r="K99" s="68">
        <f t="shared" si="17"/>
        <v>1473.12</v>
      </c>
      <c r="L99" s="69"/>
      <c r="M99" s="70"/>
      <c r="N99" s="70"/>
      <c r="O99" s="70"/>
      <c r="P99" s="37">
        <f t="shared" si="14"/>
        <v>334.8</v>
      </c>
      <c r="Q99" s="71">
        <v>235</v>
      </c>
      <c r="R99" s="71">
        <v>0</v>
      </c>
      <c r="S99" s="71">
        <v>55</v>
      </c>
      <c r="T99" s="71">
        <f>22*2</f>
        <v>44</v>
      </c>
      <c r="U99" s="71">
        <v>0.8</v>
      </c>
      <c r="V99" s="37">
        <f t="shared" si="15"/>
        <v>1339.2</v>
      </c>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row>
    <row r="100" s="23" customFormat="1" ht="60" customHeight="1" outlineLevel="2" spans="1:76">
      <c r="A100" s="61">
        <f t="shared" ref="A100:A111" si="18">A99+1</f>
        <v>12</v>
      </c>
      <c r="B100" s="62" t="s">
        <v>719</v>
      </c>
      <c r="C100" s="63" t="s">
        <v>720</v>
      </c>
      <c r="D100" s="64" t="s">
        <v>70</v>
      </c>
      <c r="E100" s="65">
        <v>172.166</v>
      </c>
      <c r="F100" s="66">
        <f t="shared" si="9"/>
        <v>20</v>
      </c>
      <c r="G100" s="66">
        <f t="shared" si="10"/>
        <v>3.296</v>
      </c>
      <c r="H100" s="66">
        <f t="shared" si="11"/>
        <v>0.8</v>
      </c>
      <c r="I100" s="67">
        <f t="shared" si="12"/>
        <v>2.4096</v>
      </c>
      <c r="J100" s="67">
        <f t="shared" si="13"/>
        <v>26.5056</v>
      </c>
      <c r="K100" s="68">
        <f t="shared" si="17"/>
        <v>4563.36</v>
      </c>
      <c r="L100" s="69"/>
      <c r="M100" s="70"/>
      <c r="N100" s="70"/>
      <c r="O100" s="70"/>
      <c r="P100" s="37">
        <f t="shared" si="14"/>
        <v>24.096</v>
      </c>
      <c r="Q100" s="79">
        <v>3.2</v>
      </c>
      <c r="R100" s="85">
        <v>0.03</v>
      </c>
      <c r="S100" s="84">
        <v>20</v>
      </c>
      <c r="T100" s="84">
        <v>0.8</v>
      </c>
      <c r="U100" s="71"/>
      <c r="V100" s="37">
        <f t="shared" si="15"/>
        <v>4148.511936</v>
      </c>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row>
    <row r="101" s="23" customFormat="1" ht="60" customHeight="1" outlineLevel="2" spans="1:76">
      <c r="A101" s="61">
        <f t="shared" si="18"/>
        <v>13</v>
      </c>
      <c r="B101" s="62" t="s">
        <v>721</v>
      </c>
      <c r="C101" s="63" t="s">
        <v>722</v>
      </c>
      <c r="D101" s="64" t="s">
        <v>70</v>
      </c>
      <c r="E101" s="65">
        <v>9.865</v>
      </c>
      <c r="F101" s="66">
        <f t="shared" si="9"/>
        <v>20</v>
      </c>
      <c r="G101" s="66">
        <f t="shared" si="10"/>
        <v>3.9243</v>
      </c>
      <c r="H101" s="66">
        <f t="shared" si="11"/>
        <v>0.8</v>
      </c>
      <c r="I101" s="67">
        <f t="shared" si="12"/>
        <v>2.47243</v>
      </c>
      <c r="J101" s="67">
        <f t="shared" si="13"/>
        <v>27.19673</v>
      </c>
      <c r="K101" s="68">
        <f t="shared" si="17"/>
        <v>268.3</v>
      </c>
      <c r="L101" s="69"/>
      <c r="M101" s="70"/>
      <c r="N101" s="70"/>
      <c r="O101" s="70"/>
      <c r="P101" s="37">
        <f t="shared" si="14"/>
        <v>24.7243</v>
      </c>
      <c r="Q101" s="79">
        <v>3.81</v>
      </c>
      <c r="R101" s="85">
        <v>0.03</v>
      </c>
      <c r="S101" s="84">
        <v>20</v>
      </c>
      <c r="T101" s="84">
        <v>0.8</v>
      </c>
      <c r="U101" s="71"/>
      <c r="V101" s="37">
        <f t="shared" si="15"/>
        <v>243.9052195</v>
      </c>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row>
    <row r="102" s="23" customFormat="1" ht="60" customHeight="1" outlineLevel="2" spans="1:76">
      <c r="A102" s="61">
        <f t="shared" si="18"/>
        <v>14</v>
      </c>
      <c r="B102" s="62" t="s">
        <v>723</v>
      </c>
      <c r="C102" s="63" t="s">
        <v>724</v>
      </c>
      <c r="D102" s="64" t="s">
        <v>70</v>
      </c>
      <c r="E102" s="65">
        <v>23.265</v>
      </c>
      <c r="F102" s="66">
        <f t="shared" si="9"/>
        <v>20</v>
      </c>
      <c r="G102" s="66">
        <f t="shared" si="10"/>
        <v>5.665</v>
      </c>
      <c r="H102" s="66">
        <f t="shared" si="11"/>
        <v>0.8</v>
      </c>
      <c r="I102" s="67">
        <f t="shared" si="12"/>
        <v>2.6465</v>
      </c>
      <c r="J102" s="67">
        <f t="shared" si="13"/>
        <v>29.1115</v>
      </c>
      <c r="K102" s="68">
        <f t="shared" si="17"/>
        <v>677.28</v>
      </c>
      <c r="L102" s="69"/>
      <c r="M102" s="70"/>
      <c r="N102" s="70"/>
      <c r="O102" s="70"/>
      <c r="P102" s="37">
        <f t="shared" si="14"/>
        <v>26.465</v>
      </c>
      <c r="Q102" s="79">
        <v>5.5</v>
      </c>
      <c r="R102" s="85">
        <v>0.03</v>
      </c>
      <c r="S102" s="84">
        <v>20</v>
      </c>
      <c r="T102" s="84">
        <v>0.8</v>
      </c>
      <c r="U102" s="71"/>
      <c r="V102" s="37">
        <f t="shared" si="15"/>
        <v>615.708225</v>
      </c>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row>
    <row r="103" s="23" customFormat="1" ht="60" customHeight="1" outlineLevel="2" spans="1:76">
      <c r="A103" s="61">
        <f t="shared" si="18"/>
        <v>15</v>
      </c>
      <c r="B103" s="62" t="s">
        <v>725</v>
      </c>
      <c r="C103" s="63" t="s">
        <v>726</v>
      </c>
      <c r="D103" s="64" t="s">
        <v>70</v>
      </c>
      <c r="E103" s="65">
        <v>20.711</v>
      </c>
      <c r="F103" s="66">
        <f t="shared" si="9"/>
        <v>20</v>
      </c>
      <c r="G103" s="66">
        <f t="shared" si="10"/>
        <v>14.935</v>
      </c>
      <c r="H103" s="66">
        <f t="shared" si="11"/>
        <v>0.8</v>
      </c>
      <c r="I103" s="67">
        <f t="shared" si="12"/>
        <v>3.5735</v>
      </c>
      <c r="J103" s="67">
        <f t="shared" si="13"/>
        <v>39.3085</v>
      </c>
      <c r="K103" s="68">
        <f t="shared" si="17"/>
        <v>814.12</v>
      </c>
      <c r="L103" s="69"/>
      <c r="M103" s="70"/>
      <c r="N103" s="70"/>
      <c r="O103" s="70"/>
      <c r="P103" s="37">
        <f t="shared" si="14"/>
        <v>35.735</v>
      </c>
      <c r="Q103" s="81">
        <v>14.5</v>
      </c>
      <c r="R103" s="109">
        <v>0.03</v>
      </c>
      <c r="S103" s="110">
        <v>20</v>
      </c>
      <c r="T103" s="110">
        <v>0.8</v>
      </c>
      <c r="U103" s="71"/>
      <c r="V103" s="37">
        <f t="shared" si="15"/>
        <v>740.107585</v>
      </c>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row>
    <row r="104" s="23" customFormat="1" ht="60" customHeight="1" outlineLevel="2" spans="1:76">
      <c r="A104" s="61">
        <f t="shared" si="18"/>
        <v>16</v>
      </c>
      <c r="B104" s="62" t="s">
        <v>727</v>
      </c>
      <c r="C104" s="63" t="s">
        <v>728</v>
      </c>
      <c r="D104" s="64" t="s">
        <v>70</v>
      </c>
      <c r="E104" s="65">
        <v>12.595</v>
      </c>
      <c r="F104" s="66">
        <f t="shared" si="9"/>
        <v>20</v>
      </c>
      <c r="G104" s="66">
        <f t="shared" si="10"/>
        <v>20.6</v>
      </c>
      <c r="H104" s="66">
        <f t="shared" si="11"/>
        <v>0.8</v>
      </c>
      <c r="I104" s="67">
        <f t="shared" si="12"/>
        <v>4.14</v>
      </c>
      <c r="J104" s="67">
        <f t="shared" si="13"/>
        <v>45.54</v>
      </c>
      <c r="K104" s="68">
        <f t="shared" si="17"/>
        <v>573.58</v>
      </c>
      <c r="L104" s="69"/>
      <c r="M104" s="70"/>
      <c r="N104" s="70"/>
      <c r="O104" s="70"/>
      <c r="P104" s="37">
        <f t="shared" si="14"/>
        <v>41.4</v>
      </c>
      <c r="Q104" s="79">
        <v>20</v>
      </c>
      <c r="R104" s="85">
        <v>0.03</v>
      </c>
      <c r="S104" s="84">
        <v>20</v>
      </c>
      <c r="T104" s="84">
        <v>0.8</v>
      </c>
      <c r="U104" s="71"/>
      <c r="V104" s="37">
        <f t="shared" si="15"/>
        <v>521.433</v>
      </c>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row>
    <row r="105" s="23" customFormat="1" ht="60" customHeight="1" outlineLevel="2" spans="1:76">
      <c r="A105" s="61">
        <f t="shared" si="18"/>
        <v>17</v>
      </c>
      <c r="B105" s="62" t="s">
        <v>729</v>
      </c>
      <c r="C105" s="63" t="s">
        <v>730</v>
      </c>
      <c r="D105" s="64" t="s">
        <v>70</v>
      </c>
      <c r="E105" s="65">
        <v>59.619</v>
      </c>
      <c r="F105" s="66">
        <f t="shared" si="9"/>
        <v>20</v>
      </c>
      <c r="G105" s="66">
        <f t="shared" si="10"/>
        <v>3.811</v>
      </c>
      <c r="H105" s="66">
        <f t="shared" si="11"/>
        <v>0.8</v>
      </c>
      <c r="I105" s="67">
        <f t="shared" si="12"/>
        <v>2.4611</v>
      </c>
      <c r="J105" s="67">
        <f t="shared" si="13"/>
        <v>27.0721</v>
      </c>
      <c r="K105" s="68">
        <f t="shared" si="17"/>
        <v>1614.01</v>
      </c>
      <c r="L105" s="69"/>
      <c r="M105" s="70"/>
      <c r="N105" s="70"/>
      <c r="O105" s="70"/>
      <c r="P105" s="37">
        <f t="shared" si="14"/>
        <v>24.611</v>
      </c>
      <c r="Q105" s="79">
        <v>3.7</v>
      </c>
      <c r="R105" s="85">
        <v>0.03</v>
      </c>
      <c r="S105" s="84">
        <v>20</v>
      </c>
      <c r="T105" s="84">
        <v>0.8</v>
      </c>
      <c r="U105" s="71"/>
      <c r="V105" s="37">
        <f t="shared" si="15"/>
        <v>1467.283209</v>
      </c>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row>
    <row r="106" s="23" customFormat="1" ht="60" customHeight="1" outlineLevel="2" spans="1:76">
      <c r="A106" s="61">
        <f t="shared" si="18"/>
        <v>18</v>
      </c>
      <c r="B106" s="62" t="s">
        <v>731</v>
      </c>
      <c r="C106" s="63" t="s">
        <v>732</v>
      </c>
      <c r="D106" s="64" t="s">
        <v>70</v>
      </c>
      <c r="E106" s="65">
        <v>11.64</v>
      </c>
      <c r="F106" s="66">
        <f t="shared" si="9"/>
        <v>20</v>
      </c>
      <c r="G106" s="66">
        <f t="shared" si="10"/>
        <v>4.429</v>
      </c>
      <c r="H106" s="66">
        <f t="shared" si="11"/>
        <v>0.8</v>
      </c>
      <c r="I106" s="67">
        <f t="shared" si="12"/>
        <v>2.5229</v>
      </c>
      <c r="J106" s="67">
        <f t="shared" si="13"/>
        <v>27.7519</v>
      </c>
      <c r="K106" s="68">
        <f t="shared" si="17"/>
        <v>323.03</v>
      </c>
      <c r="L106" s="69"/>
      <c r="M106" s="70"/>
      <c r="N106" s="70"/>
      <c r="O106" s="70"/>
      <c r="P106" s="37">
        <f t="shared" si="14"/>
        <v>25.229</v>
      </c>
      <c r="Q106" s="79">
        <v>4.3</v>
      </c>
      <c r="R106" s="85">
        <v>0.03</v>
      </c>
      <c r="S106" s="84">
        <v>20</v>
      </c>
      <c r="T106" s="84">
        <v>0.8</v>
      </c>
      <c r="U106" s="71"/>
      <c r="V106" s="37">
        <f t="shared" si="15"/>
        <v>293.66556</v>
      </c>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row>
    <row r="107" s="23" customFormat="1" ht="60" customHeight="1" outlineLevel="2" spans="1:76">
      <c r="A107" s="61">
        <f t="shared" si="18"/>
        <v>19</v>
      </c>
      <c r="B107" s="62" t="s">
        <v>733</v>
      </c>
      <c r="C107" s="63" t="s">
        <v>734</v>
      </c>
      <c r="D107" s="64" t="s">
        <v>70</v>
      </c>
      <c r="E107" s="65">
        <v>48.66</v>
      </c>
      <c r="F107" s="66">
        <f t="shared" si="9"/>
        <v>20</v>
      </c>
      <c r="G107" s="66">
        <f t="shared" si="10"/>
        <v>6.283</v>
      </c>
      <c r="H107" s="66">
        <f t="shared" si="11"/>
        <v>0.8</v>
      </c>
      <c r="I107" s="67">
        <f t="shared" si="12"/>
        <v>2.7083</v>
      </c>
      <c r="J107" s="67">
        <f t="shared" si="13"/>
        <v>29.7913</v>
      </c>
      <c r="K107" s="68">
        <f t="shared" si="17"/>
        <v>1449.64</v>
      </c>
      <c r="L107" s="69"/>
      <c r="M107" s="70"/>
      <c r="N107" s="70"/>
      <c r="O107" s="70"/>
      <c r="P107" s="37">
        <f t="shared" si="14"/>
        <v>27.083</v>
      </c>
      <c r="Q107" s="79">
        <v>6.1</v>
      </c>
      <c r="R107" s="85">
        <v>0.03</v>
      </c>
      <c r="S107" s="84">
        <v>20</v>
      </c>
      <c r="T107" s="84">
        <v>0.8</v>
      </c>
      <c r="U107" s="71"/>
      <c r="V107" s="37">
        <f t="shared" si="15"/>
        <v>1317.85878</v>
      </c>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row>
    <row r="108" s="23" customFormat="1" ht="48" customHeight="1" outlineLevel="2" spans="1:76">
      <c r="A108" s="61">
        <f t="shared" si="18"/>
        <v>20</v>
      </c>
      <c r="B108" s="62" t="s">
        <v>735</v>
      </c>
      <c r="C108" s="63" t="s">
        <v>736</v>
      </c>
      <c r="D108" s="64" t="s">
        <v>70</v>
      </c>
      <c r="E108" s="65">
        <v>42.534</v>
      </c>
      <c r="F108" s="66">
        <f t="shared" si="9"/>
        <v>20</v>
      </c>
      <c r="G108" s="66">
        <f t="shared" si="10"/>
        <v>10</v>
      </c>
      <c r="H108" s="66">
        <f t="shared" si="11"/>
        <v>1.2</v>
      </c>
      <c r="I108" s="67">
        <f t="shared" si="12"/>
        <v>3.12</v>
      </c>
      <c r="J108" s="67">
        <f t="shared" si="13"/>
        <v>34.32</v>
      </c>
      <c r="K108" s="68">
        <f t="shared" si="17"/>
        <v>1459.77</v>
      </c>
      <c r="L108" s="69"/>
      <c r="M108" s="70"/>
      <c r="N108" s="70"/>
      <c r="O108" s="70"/>
      <c r="P108" s="37">
        <f t="shared" si="14"/>
        <v>31.2</v>
      </c>
      <c r="Q108" s="71">
        <v>10</v>
      </c>
      <c r="R108" s="71">
        <v>0</v>
      </c>
      <c r="S108" s="71">
        <v>20</v>
      </c>
      <c r="T108" s="71">
        <v>1.02</v>
      </c>
      <c r="U108" s="71">
        <v>0.18</v>
      </c>
      <c r="V108" s="37">
        <f t="shared" si="15"/>
        <v>1327.0608</v>
      </c>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row>
    <row r="109" s="23" customFormat="1" ht="48" customHeight="1" outlineLevel="2" spans="1:76">
      <c r="A109" s="61">
        <f t="shared" si="18"/>
        <v>21</v>
      </c>
      <c r="B109" s="62" t="s">
        <v>737</v>
      </c>
      <c r="C109" s="63" t="s">
        <v>738</v>
      </c>
      <c r="D109" s="64" t="s">
        <v>70</v>
      </c>
      <c r="E109" s="65">
        <v>13.509</v>
      </c>
      <c r="F109" s="66">
        <f t="shared" si="9"/>
        <v>45</v>
      </c>
      <c r="G109" s="66">
        <f t="shared" si="10"/>
        <v>18</v>
      </c>
      <c r="H109" s="66">
        <f t="shared" si="11"/>
        <v>1.5</v>
      </c>
      <c r="I109" s="67">
        <f t="shared" si="12"/>
        <v>6.45</v>
      </c>
      <c r="J109" s="67">
        <f t="shared" si="13"/>
        <v>70.95</v>
      </c>
      <c r="K109" s="68">
        <f t="shared" si="17"/>
        <v>958.46</v>
      </c>
      <c r="L109" s="69"/>
      <c r="M109" s="70"/>
      <c r="N109" s="70"/>
      <c r="O109" s="70"/>
      <c r="P109" s="37">
        <f t="shared" si="14"/>
        <v>64.5</v>
      </c>
      <c r="Q109" s="71">
        <v>18</v>
      </c>
      <c r="R109" s="71">
        <v>0</v>
      </c>
      <c r="S109" s="71">
        <v>45</v>
      </c>
      <c r="T109" s="71">
        <v>1.27</v>
      </c>
      <c r="U109" s="71">
        <v>0.23</v>
      </c>
      <c r="V109" s="37">
        <f t="shared" si="15"/>
        <v>871.3305</v>
      </c>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row>
    <row r="110" s="23" customFormat="1" ht="48" customHeight="1" outlineLevel="2" spans="1:76">
      <c r="A110" s="61">
        <f t="shared" si="18"/>
        <v>22</v>
      </c>
      <c r="B110" s="62" t="s">
        <v>739</v>
      </c>
      <c r="C110" s="63" t="s">
        <v>740</v>
      </c>
      <c r="D110" s="64" t="s">
        <v>70</v>
      </c>
      <c r="E110" s="65">
        <v>121.478</v>
      </c>
      <c r="F110" s="66">
        <f t="shared" si="9"/>
        <v>55</v>
      </c>
      <c r="G110" s="66">
        <f t="shared" si="10"/>
        <v>36</v>
      </c>
      <c r="H110" s="66">
        <f t="shared" si="11"/>
        <v>1.8</v>
      </c>
      <c r="I110" s="67">
        <f t="shared" si="12"/>
        <v>9.28</v>
      </c>
      <c r="J110" s="67">
        <f t="shared" si="13"/>
        <v>102.08</v>
      </c>
      <c r="K110" s="68">
        <f t="shared" si="17"/>
        <v>12400.47</v>
      </c>
      <c r="L110" s="69"/>
      <c r="M110" s="70"/>
      <c r="N110" s="70"/>
      <c r="O110" s="70"/>
      <c r="P110" s="37">
        <f t="shared" si="14"/>
        <v>92.8</v>
      </c>
      <c r="Q110" s="71">
        <v>36</v>
      </c>
      <c r="R110" s="71">
        <v>0</v>
      </c>
      <c r="S110" s="71">
        <v>55</v>
      </c>
      <c r="T110" s="71">
        <v>1.53</v>
      </c>
      <c r="U110" s="71">
        <v>0.27</v>
      </c>
      <c r="V110" s="37">
        <f t="shared" si="15"/>
        <v>11273.1584</v>
      </c>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row>
    <row r="111" s="23" customFormat="1" ht="48" customHeight="1" outlineLevel="2" spans="1:76">
      <c r="A111" s="61">
        <f t="shared" si="18"/>
        <v>23</v>
      </c>
      <c r="B111" s="62" t="s">
        <v>741</v>
      </c>
      <c r="C111" s="63" t="s">
        <v>742</v>
      </c>
      <c r="D111" s="64" t="s">
        <v>610</v>
      </c>
      <c r="E111" s="65">
        <v>1</v>
      </c>
      <c r="F111" s="66">
        <f t="shared" si="9"/>
        <v>35</v>
      </c>
      <c r="G111" s="66">
        <f t="shared" si="10"/>
        <v>105</v>
      </c>
      <c r="H111" s="66">
        <f t="shared" si="11"/>
        <v>1.5</v>
      </c>
      <c r="I111" s="67">
        <f t="shared" si="12"/>
        <v>14.15</v>
      </c>
      <c r="J111" s="67">
        <f t="shared" si="13"/>
        <v>155.65</v>
      </c>
      <c r="K111" s="68">
        <f t="shared" si="17"/>
        <v>155.65</v>
      </c>
      <c r="L111" s="69"/>
      <c r="M111" s="70"/>
      <c r="N111" s="70"/>
      <c r="O111" s="70"/>
      <c r="P111" s="37">
        <f t="shared" si="14"/>
        <v>141.5</v>
      </c>
      <c r="Q111" s="71">
        <v>105</v>
      </c>
      <c r="R111" s="71"/>
      <c r="S111" s="71">
        <v>35</v>
      </c>
      <c r="T111" s="71">
        <v>1.5</v>
      </c>
      <c r="U111" s="71"/>
      <c r="V111" s="37">
        <f t="shared" si="15"/>
        <v>141.5</v>
      </c>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c r="AZ111" s="70"/>
      <c r="BA111" s="70"/>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row>
    <row r="112" s="23" customFormat="1" ht="25" customHeight="1" spans="1:76">
      <c r="A112" s="101"/>
      <c r="B112" s="48" t="s">
        <v>743</v>
      </c>
      <c r="C112" s="95"/>
      <c r="D112" s="50"/>
      <c r="E112" s="51"/>
      <c r="F112" s="104"/>
      <c r="G112" s="104"/>
      <c r="H112" s="104"/>
      <c r="I112" s="54"/>
      <c r="J112" s="54"/>
      <c r="K112" s="55">
        <f>+K113+K123</f>
        <v>0</v>
      </c>
      <c r="L112" s="105"/>
      <c r="M112" s="70"/>
      <c r="N112" s="70"/>
      <c r="O112" s="70"/>
      <c r="P112" s="106"/>
      <c r="Q112" s="106"/>
      <c r="R112" s="106"/>
      <c r="S112" s="106"/>
      <c r="T112" s="106"/>
      <c r="U112" s="106"/>
      <c r="V112" s="106"/>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0"/>
      <c r="AT112" s="70"/>
      <c r="AU112" s="70"/>
      <c r="AV112" s="70"/>
      <c r="AW112" s="70"/>
      <c r="AX112" s="70"/>
      <c r="AY112" s="70"/>
      <c r="AZ112" s="70"/>
      <c r="BA112" s="70"/>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row>
    <row r="113" s="23" customFormat="1" ht="20" customHeight="1" outlineLevel="1" spans="1:76">
      <c r="A113" s="101"/>
      <c r="B113" s="59" t="s">
        <v>744</v>
      </c>
      <c r="C113" s="95"/>
      <c r="D113" s="50"/>
      <c r="E113" s="51"/>
      <c r="F113" s="104"/>
      <c r="G113" s="104"/>
      <c r="H113" s="104"/>
      <c r="I113" s="54"/>
      <c r="J113" s="54"/>
      <c r="K113" s="100">
        <f>SUM(K114:K122)</f>
        <v>0</v>
      </c>
      <c r="L113" s="105"/>
      <c r="M113" s="70"/>
      <c r="N113" s="70"/>
      <c r="O113" s="70"/>
      <c r="P113" s="106"/>
      <c r="Q113" s="106"/>
      <c r="R113" s="106"/>
      <c r="S113" s="106"/>
      <c r="T113" s="106"/>
      <c r="U113" s="106"/>
      <c r="V113" s="106"/>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c r="AU113" s="70"/>
      <c r="AV113" s="70"/>
      <c r="AW113" s="70"/>
      <c r="AX113" s="70"/>
      <c r="AY113" s="70"/>
      <c r="AZ113" s="70"/>
      <c r="BA113" s="70"/>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row>
    <row r="114" s="23" customFormat="1" ht="36" customHeight="1" outlineLevel="2" spans="1:76">
      <c r="A114" s="61">
        <f t="shared" ref="A114:A122" si="19">A113+1</f>
        <v>1</v>
      </c>
      <c r="B114" s="62" t="s">
        <v>745</v>
      </c>
      <c r="C114" s="63" t="s">
        <v>746</v>
      </c>
      <c r="D114" s="64" t="s">
        <v>610</v>
      </c>
      <c r="E114" s="65">
        <v>614</v>
      </c>
      <c r="F114" s="66">
        <f t="shared" ref="F114:F122" si="20">S114*$S$1</f>
        <v>0</v>
      </c>
      <c r="G114" s="66">
        <f t="shared" ref="G114:G122" si="21">Q114*(1+R114)*$Q$1</f>
        <v>0</v>
      </c>
      <c r="H114" s="66">
        <f t="shared" ref="H114:H122" si="22">(T114+U114)*$T$1</f>
        <v>0</v>
      </c>
      <c r="I114" s="67">
        <f t="shared" ref="I114:I122" si="23">(F114+G114+H114)*$I$3</f>
        <v>0</v>
      </c>
      <c r="J114" s="67">
        <f t="shared" ref="J114:J122" si="24">F114+G114+H114+I114</f>
        <v>0</v>
      </c>
      <c r="K114" s="68">
        <f t="shared" ref="K114:K122" si="25">ROUND(E114*J114,2)</f>
        <v>0</v>
      </c>
      <c r="L114" s="69"/>
      <c r="M114" s="70"/>
      <c r="N114" s="70"/>
      <c r="O114" s="70"/>
      <c r="P114" s="37">
        <f t="shared" ref="P114:P122" si="26">Q114+Q114*R114+S114+T114+U114</f>
        <v>0</v>
      </c>
      <c r="Q114" s="71"/>
      <c r="R114" s="71"/>
      <c r="S114" s="71"/>
      <c r="T114" s="71"/>
      <c r="U114" s="71"/>
      <c r="V114" s="37">
        <f t="shared" ref="V114:V122" si="27">P114*E114</f>
        <v>0</v>
      </c>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row>
    <row r="115" s="23" customFormat="1" ht="60" customHeight="1" outlineLevel="2" spans="1:76">
      <c r="A115" s="61">
        <f t="shared" si="19"/>
        <v>2</v>
      </c>
      <c r="B115" s="62" t="s">
        <v>747</v>
      </c>
      <c r="C115" s="63" t="s">
        <v>748</v>
      </c>
      <c r="D115" s="64" t="s">
        <v>70</v>
      </c>
      <c r="E115" s="65">
        <v>428.939</v>
      </c>
      <c r="F115" s="66">
        <f t="shared" si="20"/>
        <v>0</v>
      </c>
      <c r="G115" s="66">
        <f t="shared" si="21"/>
        <v>0</v>
      </c>
      <c r="H115" s="66">
        <f t="shared" si="22"/>
        <v>0</v>
      </c>
      <c r="I115" s="67">
        <f t="shared" si="23"/>
        <v>0</v>
      </c>
      <c r="J115" s="67">
        <f t="shared" si="24"/>
        <v>0</v>
      </c>
      <c r="K115" s="68">
        <f t="shared" si="25"/>
        <v>0</v>
      </c>
      <c r="L115" s="69"/>
      <c r="M115" s="70"/>
      <c r="N115" s="70"/>
      <c r="O115" s="70"/>
      <c r="P115" s="37">
        <f t="shared" si="26"/>
        <v>0</v>
      </c>
      <c r="Q115" s="71"/>
      <c r="R115" s="71"/>
      <c r="S115" s="71"/>
      <c r="T115" s="71"/>
      <c r="U115" s="71"/>
      <c r="V115" s="37">
        <f t="shared" si="27"/>
        <v>0</v>
      </c>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row>
    <row r="116" s="23" customFormat="1" ht="60" customHeight="1" outlineLevel="2" spans="1:76">
      <c r="A116" s="61">
        <f t="shared" si="19"/>
        <v>3</v>
      </c>
      <c r="B116" s="62" t="s">
        <v>749</v>
      </c>
      <c r="C116" s="63" t="s">
        <v>750</v>
      </c>
      <c r="D116" s="64" t="s">
        <v>70</v>
      </c>
      <c r="E116" s="65">
        <v>200.256</v>
      </c>
      <c r="F116" s="66">
        <f t="shared" si="20"/>
        <v>0</v>
      </c>
      <c r="G116" s="66">
        <f t="shared" si="21"/>
        <v>0</v>
      </c>
      <c r="H116" s="66">
        <f t="shared" si="22"/>
        <v>0</v>
      </c>
      <c r="I116" s="67">
        <f t="shared" si="23"/>
        <v>0</v>
      </c>
      <c r="J116" s="67">
        <f t="shared" si="24"/>
        <v>0</v>
      </c>
      <c r="K116" s="68">
        <f t="shared" si="25"/>
        <v>0</v>
      </c>
      <c r="L116" s="69"/>
      <c r="M116" s="70"/>
      <c r="N116" s="70"/>
      <c r="O116" s="70"/>
      <c r="P116" s="37">
        <f t="shared" si="26"/>
        <v>0</v>
      </c>
      <c r="Q116" s="71"/>
      <c r="R116" s="71"/>
      <c r="S116" s="71"/>
      <c r="T116" s="71"/>
      <c r="U116" s="71"/>
      <c r="V116" s="37">
        <f t="shared" si="27"/>
        <v>0</v>
      </c>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row>
    <row r="117" s="23" customFormat="1" ht="60" customHeight="1" outlineLevel="2" spans="1:76">
      <c r="A117" s="61">
        <f t="shared" si="19"/>
        <v>4</v>
      </c>
      <c r="B117" s="62" t="s">
        <v>751</v>
      </c>
      <c r="C117" s="63" t="s">
        <v>752</v>
      </c>
      <c r="D117" s="64" t="s">
        <v>70</v>
      </c>
      <c r="E117" s="65">
        <v>47.745</v>
      </c>
      <c r="F117" s="66">
        <f t="shared" si="20"/>
        <v>0</v>
      </c>
      <c r="G117" s="66">
        <f t="shared" si="21"/>
        <v>0</v>
      </c>
      <c r="H117" s="66">
        <f t="shared" si="22"/>
        <v>0</v>
      </c>
      <c r="I117" s="67">
        <f t="shared" si="23"/>
        <v>0</v>
      </c>
      <c r="J117" s="67">
        <f t="shared" si="24"/>
        <v>0</v>
      </c>
      <c r="K117" s="68">
        <f t="shared" si="25"/>
        <v>0</v>
      </c>
      <c r="L117" s="69"/>
      <c r="M117" s="70"/>
      <c r="N117" s="70"/>
      <c r="O117" s="70"/>
      <c r="P117" s="37">
        <f t="shared" si="26"/>
        <v>0</v>
      </c>
      <c r="Q117" s="71"/>
      <c r="R117" s="71"/>
      <c r="S117" s="71"/>
      <c r="T117" s="71"/>
      <c r="U117" s="71"/>
      <c r="V117" s="37">
        <f t="shared" si="27"/>
        <v>0</v>
      </c>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row>
    <row r="118" s="23" customFormat="1" ht="60" customHeight="1" outlineLevel="2" spans="1:76">
      <c r="A118" s="61">
        <f t="shared" si="19"/>
        <v>5</v>
      </c>
      <c r="B118" s="62" t="s">
        <v>753</v>
      </c>
      <c r="C118" s="63" t="s">
        <v>754</v>
      </c>
      <c r="D118" s="64" t="s">
        <v>70</v>
      </c>
      <c r="E118" s="65">
        <v>84.006</v>
      </c>
      <c r="F118" s="66">
        <f t="shared" si="20"/>
        <v>0</v>
      </c>
      <c r="G118" s="66">
        <f t="shared" si="21"/>
        <v>0</v>
      </c>
      <c r="H118" s="66">
        <f t="shared" si="22"/>
        <v>0</v>
      </c>
      <c r="I118" s="67">
        <f t="shared" si="23"/>
        <v>0</v>
      </c>
      <c r="J118" s="67">
        <f t="shared" si="24"/>
        <v>0</v>
      </c>
      <c r="K118" s="68">
        <f t="shared" si="25"/>
        <v>0</v>
      </c>
      <c r="L118" s="69"/>
      <c r="M118" s="70"/>
      <c r="N118" s="70"/>
      <c r="O118" s="70"/>
      <c r="P118" s="37">
        <f t="shared" si="26"/>
        <v>0</v>
      </c>
      <c r="Q118" s="71"/>
      <c r="R118" s="71"/>
      <c r="S118" s="71"/>
      <c r="T118" s="71"/>
      <c r="U118" s="71"/>
      <c r="V118" s="37">
        <f t="shared" si="27"/>
        <v>0</v>
      </c>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row>
    <row r="119" s="23" customFormat="1" ht="60" customHeight="1" outlineLevel="2" spans="1:76">
      <c r="A119" s="61">
        <f t="shared" si="19"/>
        <v>6</v>
      </c>
      <c r="B119" s="62" t="s">
        <v>755</v>
      </c>
      <c r="C119" s="63" t="s">
        <v>756</v>
      </c>
      <c r="D119" s="64" t="s">
        <v>70</v>
      </c>
      <c r="E119" s="65">
        <v>19.44</v>
      </c>
      <c r="F119" s="66">
        <f t="shared" si="20"/>
        <v>0</v>
      </c>
      <c r="G119" s="66">
        <f t="shared" si="21"/>
        <v>0</v>
      </c>
      <c r="H119" s="66">
        <f t="shared" si="22"/>
        <v>0</v>
      </c>
      <c r="I119" s="67">
        <f t="shared" si="23"/>
        <v>0</v>
      </c>
      <c r="J119" s="67">
        <f t="shared" si="24"/>
        <v>0</v>
      </c>
      <c r="K119" s="68">
        <f t="shared" si="25"/>
        <v>0</v>
      </c>
      <c r="L119" s="69"/>
      <c r="M119" s="70"/>
      <c r="N119" s="70"/>
      <c r="O119" s="70"/>
      <c r="P119" s="37">
        <f t="shared" si="26"/>
        <v>0</v>
      </c>
      <c r="Q119" s="71"/>
      <c r="R119" s="71"/>
      <c r="S119" s="71"/>
      <c r="T119" s="71"/>
      <c r="U119" s="71"/>
      <c r="V119" s="37">
        <f t="shared" si="27"/>
        <v>0</v>
      </c>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row>
    <row r="120" s="23" customFormat="1" ht="60" customHeight="1" outlineLevel="2" spans="1:76">
      <c r="A120" s="61">
        <f t="shared" si="19"/>
        <v>7</v>
      </c>
      <c r="B120" s="62" t="s">
        <v>757</v>
      </c>
      <c r="C120" s="63" t="s">
        <v>758</v>
      </c>
      <c r="D120" s="64" t="s">
        <v>70</v>
      </c>
      <c r="E120" s="65">
        <v>81.91</v>
      </c>
      <c r="F120" s="66">
        <f t="shared" si="20"/>
        <v>0</v>
      </c>
      <c r="G120" s="66">
        <f t="shared" si="21"/>
        <v>0</v>
      </c>
      <c r="H120" s="66">
        <f t="shared" si="22"/>
        <v>0</v>
      </c>
      <c r="I120" s="67">
        <f t="shared" si="23"/>
        <v>0</v>
      </c>
      <c r="J120" s="67">
        <f t="shared" si="24"/>
        <v>0</v>
      </c>
      <c r="K120" s="68">
        <f t="shared" si="25"/>
        <v>0</v>
      </c>
      <c r="L120" s="69"/>
      <c r="M120" s="70"/>
      <c r="N120" s="70"/>
      <c r="O120" s="70"/>
      <c r="P120" s="37">
        <f t="shared" si="26"/>
        <v>0</v>
      </c>
      <c r="Q120" s="71"/>
      <c r="R120" s="71"/>
      <c r="S120" s="71"/>
      <c r="T120" s="71"/>
      <c r="U120" s="71"/>
      <c r="V120" s="37">
        <f t="shared" si="27"/>
        <v>0</v>
      </c>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row>
    <row r="121" s="23" customFormat="1" ht="60" customHeight="1" outlineLevel="2" spans="1:76">
      <c r="A121" s="61">
        <f t="shared" si="19"/>
        <v>8</v>
      </c>
      <c r="B121" s="62" t="s">
        <v>759</v>
      </c>
      <c r="C121" s="63" t="s">
        <v>760</v>
      </c>
      <c r="D121" s="64" t="s">
        <v>70</v>
      </c>
      <c r="E121" s="65">
        <v>33.003</v>
      </c>
      <c r="F121" s="66">
        <f t="shared" si="20"/>
        <v>0</v>
      </c>
      <c r="G121" s="66">
        <f t="shared" si="21"/>
        <v>0</v>
      </c>
      <c r="H121" s="66">
        <f t="shared" si="22"/>
        <v>0</v>
      </c>
      <c r="I121" s="67">
        <f t="shared" si="23"/>
        <v>0</v>
      </c>
      <c r="J121" s="67">
        <f t="shared" si="24"/>
        <v>0</v>
      </c>
      <c r="K121" s="68">
        <f t="shared" si="25"/>
        <v>0</v>
      </c>
      <c r="L121" s="69"/>
      <c r="M121" s="70"/>
      <c r="N121" s="70"/>
      <c r="O121" s="70"/>
      <c r="P121" s="37">
        <f t="shared" si="26"/>
        <v>0</v>
      </c>
      <c r="Q121" s="71"/>
      <c r="R121" s="71"/>
      <c r="S121" s="71"/>
      <c r="T121" s="71"/>
      <c r="U121" s="71"/>
      <c r="V121" s="37">
        <f t="shared" si="27"/>
        <v>0</v>
      </c>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c r="AV121" s="70"/>
      <c r="AW121" s="70"/>
      <c r="AX121" s="70"/>
      <c r="AY121" s="70"/>
      <c r="AZ121" s="70"/>
      <c r="BA121" s="70"/>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row>
    <row r="122" s="23" customFormat="1" ht="60" customHeight="1" outlineLevel="2" spans="1:76">
      <c r="A122" s="61">
        <f t="shared" si="19"/>
        <v>9</v>
      </c>
      <c r="B122" s="62" t="s">
        <v>761</v>
      </c>
      <c r="C122" s="63" t="s">
        <v>762</v>
      </c>
      <c r="D122" s="64" t="s">
        <v>70</v>
      </c>
      <c r="E122" s="65">
        <v>85.384</v>
      </c>
      <c r="F122" s="66">
        <f t="shared" si="20"/>
        <v>0</v>
      </c>
      <c r="G122" s="66">
        <f t="shared" si="21"/>
        <v>0</v>
      </c>
      <c r="H122" s="66">
        <f t="shared" si="22"/>
        <v>0</v>
      </c>
      <c r="I122" s="67">
        <f t="shared" si="23"/>
        <v>0</v>
      </c>
      <c r="J122" s="67">
        <f t="shared" si="24"/>
        <v>0</v>
      </c>
      <c r="K122" s="68">
        <f t="shared" si="25"/>
        <v>0</v>
      </c>
      <c r="L122" s="69"/>
      <c r="M122" s="70"/>
      <c r="N122" s="70"/>
      <c r="O122" s="70"/>
      <c r="P122" s="37">
        <f t="shared" si="26"/>
        <v>0</v>
      </c>
      <c r="Q122" s="71"/>
      <c r="R122" s="71"/>
      <c r="S122" s="71"/>
      <c r="T122" s="71"/>
      <c r="U122" s="71"/>
      <c r="V122" s="37">
        <f t="shared" si="27"/>
        <v>0</v>
      </c>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row>
    <row r="123" s="22" customFormat="1" ht="20" customHeight="1" outlineLevel="1" spans="1:76">
      <c r="A123" s="101"/>
      <c r="B123" s="59" t="s">
        <v>763</v>
      </c>
      <c r="C123" s="111"/>
      <c r="D123" s="50"/>
      <c r="E123" s="51"/>
      <c r="F123" s="52"/>
      <c r="G123" s="52"/>
      <c r="H123" s="52"/>
      <c r="I123" s="54"/>
      <c r="J123" s="54"/>
      <c r="K123" s="100">
        <f>SUM(K124:K134)</f>
        <v>0</v>
      </c>
      <c r="L123" s="56"/>
      <c r="M123" s="57"/>
      <c r="N123" s="57"/>
      <c r="O123" s="57"/>
      <c r="P123" s="58"/>
      <c r="Q123" s="58"/>
      <c r="R123" s="58"/>
      <c r="S123" s="58"/>
      <c r="T123" s="58"/>
      <c r="U123" s="58"/>
      <c r="V123" s="58"/>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row>
    <row r="124" s="23" customFormat="1" ht="24" customHeight="1" outlineLevel="2" spans="1:76">
      <c r="A124" s="61">
        <f t="shared" ref="A124:A134" si="28">A123+1</f>
        <v>1</v>
      </c>
      <c r="B124" s="64" t="s">
        <v>764</v>
      </c>
      <c r="C124" s="63" t="s">
        <v>765</v>
      </c>
      <c r="D124" s="64" t="s">
        <v>610</v>
      </c>
      <c r="E124" s="65">
        <v>95</v>
      </c>
      <c r="F124" s="66">
        <f t="shared" ref="F124:F134" si="29">S124*$S$1</f>
        <v>0</v>
      </c>
      <c r="G124" s="66">
        <f t="shared" ref="G124:G134" si="30">Q124*(1+R124)*$Q$1</f>
        <v>0</v>
      </c>
      <c r="H124" s="66">
        <f t="shared" ref="H124:H134" si="31">(T124+U124)*$T$1</f>
        <v>0</v>
      </c>
      <c r="I124" s="67">
        <f t="shared" ref="I124:I134" si="32">(F124+G124+H124)*$I$3</f>
        <v>0</v>
      </c>
      <c r="J124" s="67">
        <f t="shared" ref="J124:J134" si="33">F124+G124+H124+I124</f>
        <v>0</v>
      </c>
      <c r="K124" s="68">
        <f t="shared" ref="K124:K134" si="34">ROUND(E124*J124,2)</f>
        <v>0</v>
      </c>
      <c r="L124" s="69"/>
      <c r="M124" s="70"/>
      <c r="N124" s="70"/>
      <c r="O124" s="70"/>
      <c r="P124" s="37">
        <f t="shared" ref="P124:P134" si="35">Q124+Q124*R124+S124+T124+U124</f>
        <v>0</v>
      </c>
      <c r="Q124" s="71"/>
      <c r="R124" s="71"/>
      <c r="S124" s="71"/>
      <c r="T124" s="71"/>
      <c r="U124" s="71"/>
      <c r="V124" s="37">
        <f t="shared" ref="V124:V134" si="36">P124*E124</f>
        <v>0</v>
      </c>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row>
    <row r="125" s="23" customFormat="1" ht="30" customHeight="1" outlineLevel="2" spans="1:76">
      <c r="A125" s="61">
        <f t="shared" si="28"/>
        <v>2</v>
      </c>
      <c r="B125" s="64" t="s">
        <v>766</v>
      </c>
      <c r="C125" s="63" t="s">
        <v>767</v>
      </c>
      <c r="D125" s="64" t="s">
        <v>610</v>
      </c>
      <c r="E125" s="65">
        <v>21</v>
      </c>
      <c r="F125" s="66">
        <f t="shared" si="29"/>
        <v>0</v>
      </c>
      <c r="G125" s="66">
        <f t="shared" si="30"/>
        <v>0</v>
      </c>
      <c r="H125" s="66">
        <f t="shared" si="31"/>
        <v>0</v>
      </c>
      <c r="I125" s="67">
        <f t="shared" si="32"/>
        <v>0</v>
      </c>
      <c r="J125" s="67">
        <f t="shared" si="33"/>
        <v>0</v>
      </c>
      <c r="K125" s="68">
        <f t="shared" si="34"/>
        <v>0</v>
      </c>
      <c r="L125" s="69"/>
      <c r="M125" s="70"/>
      <c r="N125" s="70"/>
      <c r="O125" s="70"/>
      <c r="P125" s="37">
        <f t="shared" si="35"/>
        <v>0</v>
      </c>
      <c r="Q125" s="71"/>
      <c r="R125" s="71"/>
      <c r="S125" s="71"/>
      <c r="T125" s="71"/>
      <c r="U125" s="71"/>
      <c r="V125" s="37">
        <f t="shared" si="36"/>
        <v>0</v>
      </c>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c r="AV125" s="70"/>
      <c r="AW125" s="70"/>
      <c r="AX125" s="70"/>
      <c r="AY125" s="70"/>
      <c r="AZ125" s="70"/>
      <c r="BA125" s="70"/>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row>
    <row r="126" s="23" customFormat="1" ht="30" customHeight="1" outlineLevel="2" spans="1:76">
      <c r="A126" s="61">
        <f t="shared" si="28"/>
        <v>3</v>
      </c>
      <c r="B126" s="64" t="s">
        <v>768</v>
      </c>
      <c r="C126" s="63" t="s">
        <v>769</v>
      </c>
      <c r="D126" s="64" t="s">
        <v>610</v>
      </c>
      <c r="E126" s="65">
        <v>11</v>
      </c>
      <c r="F126" s="66">
        <f t="shared" si="29"/>
        <v>0</v>
      </c>
      <c r="G126" s="66">
        <f t="shared" si="30"/>
        <v>0</v>
      </c>
      <c r="H126" s="66">
        <f t="shared" si="31"/>
        <v>0</v>
      </c>
      <c r="I126" s="67">
        <f t="shared" si="32"/>
        <v>0</v>
      </c>
      <c r="J126" s="67">
        <f t="shared" si="33"/>
        <v>0</v>
      </c>
      <c r="K126" s="68">
        <f t="shared" si="34"/>
        <v>0</v>
      </c>
      <c r="L126" s="69"/>
      <c r="M126" s="70"/>
      <c r="N126" s="70"/>
      <c r="O126" s="70"/>
      <c r="P126" s="37">
        <f t="shared" si="35"/>
        <v>0</v>
      </c>
      <c r="Q126" s="71"/>
      <c r="R126" s="71"/>
      <c r="S126" s="71"/>
      <c r="T126" s="71"/>
      <c r="U126" s="71"/>
      <c r="V126" s="37">
        <f t="shared" si="36"/>
        <v>0</v>
      </c>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c r="AZ126" s="70"/>
      <c r="BA126" s="70"/>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row>
    <row r="127" s="23" customFormat="1" ht="60" customHeight="1" outlineLevel="2" spans="1:76">
      <c r="A127" s="61">
        <f t="shared" si="28"/>
        <v>4</v>
      </c>
      <c r="B127" s="64" t="s">
        <v>770</v>
      </c>
      <c r="C127" s="63" t="s">
        <v>771</v>
      </c>
      <c r="D127" s="64" t="s">
        <v>610</v>
      </c>
      <c r="E127" s="65">
        <v>11</v>
      </c>
      <c r="F127" s="66">
        <f t="shared" si="29"/>
        <v>0</v>
      </c>
      <c r="G127" s="66">
        <f t="shared" si="30"/>
        <v>0</v>
      </c>
      <c r="H127" s="66">
        <f t="shared" si="31"/>
        <v>0</v>
      </c>
      <c r="I127" s="67">
        <f t="shared" si="32"/>
        <v>0</v>
      </c>
      <c r="J127" s="67">
        <f t="shared" si="33"/>
        <v>0</v>
      </c>
      <c r="K127" s="68">
        <f t="shared" si="34"/>
        <v>0</v>
      </c>
      <c r="L127" s="69"/>
      <c r="M127" s="70"/>
      <c r="N127" s="70"/>
      <c r="O127" s="70"/>
      <c r="P127" s="37">
        <f t="shared" si="35"/>
        <v>0</v>
      </c>
      <c r="Q127" s="71"/>
      <c r="R127" s="71"/>
      <c r="S127" s="71"/>
      <c r="T127" s="71"/>
      <c r="U127" s="71"/>
      <c r="V127" s="37">
        <f t="shared" si="36"/>
        <v>0</v>
      </c>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row>
    <row r="128" s="23" customFormat="1" ht="36" customHeight="1" outlineLevel="2" spans="1:76">
      <c r="A128" s="61">
        <f t="shared" si="28"/>
        <v>5</v>
      </c>
      <c r="B128" s="64" t="s">
        <v>772</v>
      </c>
      <c r="C128" s="63" t="s">
        <v>773</v>
      </c>
      <c r="D128" s="64" t="s">
        <v>610</v>
      </c>
      <c r="E128" s="65">
        <v>14</v>
      </c>
      <c r="F128" s="66">
        <f t="shared" si="29"/>
        <v>0</v>
      </c>
      <c r="G128" s="66">
        <f t="shared" si="30"/>
        <v>0</v>
      </c>
      <c r="H128" s="66">
        <f t="shared" si="31"/>
        <v>0</v>
      </c>
      <c r="I128" s="67">
        <f t="shared" si="32"/>
        <v>0</v>
      </c>
      <c r="J128" s="67">
        <f t="shared" si="33"/>
        <v>0</v>
      </c>
      <c r="K128" s="68">
        <f t="shared" si="34"/>
        <v>0</v>
      </c>
      <c r="L128" s="69"/>
      <c r="M128" s="70"/>
      <c r="N128" s="70"/>
      <c r="O128" s="70"/>
      <c r="P128" s="37">
        <f t="shared" si="35"/>
        <v>0</v>
      </c>
      <c r="Q128" s="71"/>
      <c r="R128" s="71"/>
      <c r="S128" s="71"/>
      <c r="T128" s="71"/>
      <c r="U128" s="71"/>
      <c r="V128" s="37">
        <f t="shared" si="36"/>
        <v>0</v>
      </c>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0"/>
      <c r="AV128" s="70"/>
      <c r="AW128" s="70"/>
      <c r="AX128" s="70"/>
      <c r="AY128" s="70"/>
      <c r="AZ128" s="70"/>
      <c r="BA128" s="70"/>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row>
    <row r="129" s="23" customFormat="1" ht="30" customHeight="1" outlineLevel="2" spans="1:76">
      <c r="A129" s="61">
        <f t="shared" si="28"/>
        <v>6</v>
      </c>
      <c r="B129" s="64" t="s">
        <v>774</v>
      </c>
      <c r="C129" s="63" t="s">
        <v>775</v>
      </c>
      <c r="D129" s="64" t="s">
        <v>610</v>
      </c>
      <c r="E129" s="65">
        <v>1</v>
      </c>
      <c r="F129" s="66">
        <f t="shared" si="29"/>
        <v>0</v>
      </c>
      <c r="G129" s="66">
        <f t="shared" si="30"/>
        <v>0</v>
      </c>
      <c r="H129" s="66">
        <f t="shared" si="31"/>
        <v>0</v>
      </c>
      <c r="I129" s="67">
        <f t="shared" si="32"/>
        <v>0</v>
      </c>
      <c r="J129" s="67">
        <f t="shared" si="33"/>
        <v>0</v>
      </c>
      <c r="K129" s="68">
        <f t="shared" si="34"/>
        <v>0</v>
      </c>
      <c r="L129" s="69"/>
      <c r="M129" s="70"/>
      <c r="N129" s="70"/>
      <c r="O129" s="70"/>
      <c r="P129" s="37">
        <f t="shared" si="35"/>
        <v>0</v>
      </c>
      <c r="Q129" s="71"/>
      <c r="R129" s="71"/>
      <c r="S129" s="71"/>
      <c r="T129" s="71"/>
      <c r="U129" s="71"/>
      <c r="V129" s="37">
        <f t="shared" si="36"/>
        <v>0</v>
      </c>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row>
    <row r="130" s="23" customFormat="1" ht="30" customHeight="1" outlineLevel="2" spans="1:76">
      <c r="A130" s="61">
        <f t="shared" si="28"/>
        <v>7</v>
      </c>
      <c r="B130" s="64" t="s">
        <v>776</v>
      </c>
      <c r="C130" s="63" t="s">
        <v>777</v>
      </c>
      <c r="D130" s="64" t="s">
        <v>610</v>
      </c>
      <c r="E130" s="65">
        <v>2</v>
      </c>
      <c r="F130" s="66">
        <f t="shared" si="29"/>
        <v>0</v>
      </c>
      <c r="G130" s="66">
        <f t="shared" si="30"/>
        <v>0</v>
      </c>
      <c r="H130" s="66">
        <f t="shared" si="31"/>
        <v>0</v>
      </c>
      <c r="I130" s="67">
        <f t="shared" si="32"/>
        <v>0</v>
      </c>
      <c r="J130" s="67">
        <f t="shared" si="33"/>
        <v>0</v>
      </c>
      <c r="K130" s="68">
        <f t="shared" si="34"/>
        <v>0</v>
      </c>
      <c r="L130" s="69"/>
      <c r="M130" s="70"/>
      <c r="N130" s="70"/>
      <c r="O130" s="70"/>
      <c r="P130" s="37">
        <f t="shared" si="35"/>
        <v>0</v>
      </c>
      <c r="Q130" s="71"/>
      <c r="R130" s="71"/>
      <c r="S130" s="71"/>
      <c r="T130" s="71"/>
      <c r="U130" s="71"/>
      <c r="V130" s="37">
        <f t="shared" si="36"/>
        <v>0</v>
      </c>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c r="AV130" s="70"/>
      <c r="AW130" s="70"/>
      <c r="AX130" s="70"/>
      <c r="AY130" s="70"/>
      <c r="AZ130" s="70"/>
      <c r="BA130" s="70"/>
      <c r="BB130" s="70"/>
      <c r="BC130" s="70"/>
      <c r="BD130" s="70"/>
      <c r="BE130" s="70"/>
      <c r="BF130" s="70"/>
      <c r="BG130" s="70"/>
      <c r="BH130" s="70"/>
      <c r="BI130" s="70"/>
      <c r="BJ130" s="70"/>
      <c r="BK130" s="70"/>
      <c r="BL130" s="70"/>
      <c r="BM130" s="70"/>
      <c r="BN130" s="70"/>
      <c r="BO130" s="70"/>
      <c r="BP130" s="70"/>
      <c r="BQ130" s="70"/>
      <c r="BR130" s="70"/>
      <c r="BS130" s="70"/>
      <c r="BT130" s="70"/>
      <c r="BU130" s="70"/>
      <c r="BV130" s="70"/>
      <c r="BW130" s="70"/>
      <c r="BX130" s="70"/>
    </row>
    <row r="131" s="23" customFormat="1" ht="36" customHeight="1" outlineLevel="2" spans="1:76">
      <c r="A131" s="61">
        <f t="shared" si="28"/>
        <v>8</v>
      </c>
      <c r="B131" s="64" t="s">
        <v>778</v>
      </c>
      <c r="C131" s="63" t="s">
        <v>779</v>
      </c>
      <c r="D131" s="64" t="s">
        <v>70</v>
      </c>
      <c r="E131" s="65">
        <v>548.815</v>
      </c>
      <c r="F131" s="66">
        <f t="shared" si="29"/>
        <v>0</v>
      </c>
      <c r="G131" s="66">
        <f t="shared" si="30"/>
        <v>0</v>
      </c>
      <c r="H131" s="66">
        <f t="shared" si="31"/>
        <v>0</v>
      </c>
      <c r="I131" s="67">
        <f t="shared" si="32"/>
        <v>0</v>
      </c>
      <c r="J131" s="67">
        <f t="shared" si="33"/>
        <v>0</v>
      </c>
      <c r="K131" s="68">
        <f t="shared" si="34"/>
        <v>0</v>
      </c>
      <c r="L131" s="69"/>
      <c r="M131" s="70"/>
      <c r="N131" s="70"/>
      <c r="O131" s="70"/>
      <c r="P131" s="37">
        <f t="shared" si="35"/>
        <v>0</v>
      </c>
      <c r="Q131" s="71"/>
      <c r="R131" s="71"/>
      <c r="S131" s="71"/>
      <c r="T131" s="71"/>
      <c r="U131" s="71"/>
      <c r="V131" s="37">
        <f t="shared" si="36"/>
        <v>0</v>
      </c>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c r="AV131" s="70"/>
      <c r="AW131" s="70"/>
      <c r="AX131" s="70"/>
      <c r="AY131" s="70"/>
      <c r="AZ131" s="70"/>
      <c r="BA131" s="70"/>
      <c r="BB131" s="70"/>
      <c r="BC131" s="70"/>
      <c r="BD131" s="70"/>
      <c r="BE131" s="70"/>
      <c r="BF131" s="70"/>
      <c r="BG131" s="70"/>
      <c r="BH131" s="70"/>
      <c r="BI131" s="70"/>
      <c r="BJ131" s="70"/>
      <c r="BK131" s="70"/>
      <c r="BL131" s="70"/>
      <c r="BM131" s="70"/>
      <c r="BN131" s="70"/>
      <c r="BO131" s="70"/>
      <c r="BP131" s="70"/>
      <c r="BQ131" s="70"/>
      <c r="BR131" s="70"/>
      <c r="BS131" s="70"/>
      <c r="BT131" s="70"/>
      <c r="BU131" s="70"/>
      <c r="BV131" s="70"/>
      <c r="BW131" s="70"/>
      <c r="BX131" s="70"/>
    </row>
    <row r="132" s="23" customFormat="1" ht="36" customHeight="1" outlineLevel="2" spans="1:76">
      <c r="A132" s="61">
        <f t="shared" si="28"/>
        <v>9</v>
      </c>
      <c r="B132" s="64" t="s">
        <v>780</v>
      </c>
      <c r="C132" s="63" t="s">
        <v>781</v>
      </c>
      <c r="D132" s="64" t="s">
        <v>70</v>
      </c>
      <c r="E132" s="65">
        <v>1321.028</v>
      </c>
      <c r="F132" s="66">
        <f t="shared" si="29"/>
        <v>0</v>
      </c>
      <c r="G132" s="66">
        <f t="shared" si="30"/>
        <v>0</v>
      </c>
      <c r="H132" s="66">
        <f t="shared" si="31"/>
        <v>0</v>
      </c>
      <c r="I132" s="67">
        <f t="shared" si="32"/>
        <v>0</v>
      </c>
      <c r="J132" s="67">
        <f t="shared" si="33"/>
        <v>0</v>
      </c>
      <c r="K132" s="68">
        <f t="shared" si="34"/>
        <v>0</v>
      </c>
      <c r="L132" s="69"/>
      <c r="M132" s="70"/>
      <c r="N132" s="70"/>
      <c r="O132" s="70"/>
      <c r="P132" s="37">
        <f t="shared" si="35"/>
        <v>0</v>
      </c>
      <c r="Q132" s="71"/>
      <c r="R132" s="71"/>
      <c r="S132" s="71"/>
      <c r="T132" s="71"/>
      <c r="U132" s="71"/>
      <c r="V132" s="37">
        <f t="shared" si="36"/>
        <v>0</v>
      </c>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c r="AV132" s="70"/>
      <c r="AW132" s="70"/>
      <c r="AX132" s="70"/>
      <c r="AY132" s="70"/>
      <c r="AZ132" s="70"/>
      <c r="BA132" s="70"/>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row>
    <row r="133" s="23" customFormat="1" ht="36" customHeight="1" outlineLevel="2" spans="1:76">
      <c r="A133" s="61">
        <f t="shared" si="28"/>
        <v>10</v>
      </c>
      <c r="B133" s="64" t="s">
        <v>782</v>
      </c>
      <c r="C133" s="63" t="s">
        <v>783</v>
      </c>
      <c r="D133" s="64" t="s">
        <v>70</v>
      </c>
      <c r="E133" s="65">
        <v>402.963</v>
      </c>
      <c r="F133" s="66">
        <f t="shared" si="29"/>
        <v>0</v>
      </c>
      <c r="G133" s="66">
        <f t="shared" si="30"/>
        <v>0</v>
      </c>
      <c r="H133" s="66">
        <f t="shared" si="31"/>
        <v>0</v>
      </c>
      <c r="I133" s="67">
        <f t="shared" si="32"/>
        <v>0</v>
      </c>
      <c r="J133" s="67">
        <f t="shared" si="33"/>
        <v>0</v>
      </c>
      <c r="K133" s="68">
        <f t="shared" si="34"/>
        <v>0</v>
      </c>
      <c r="L133" s="69"/>
      <c r="M133" s="70"/>
      <c r="N133" s="70"/>
      <c r="O133" s="70"/>
      <c r="P133" s="37">
        <f t="shared" si="35"/>
        <v>0</v>
      </c>
      <c r="Q133" s="71"/>
      <c r="R133" s="71"/>
      <c r="S133" s="71"/>
      <c r="T133" s="71"/>
      <c r="U133" s="71"/>
      <c r="V133" s="37">
        <f t="shared" si="36"/>
        <v>0</v>
      </c>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c r="AT133" s="70"/>
      <c r="AU133" s="70"/>
      <c r="AV133" s="70"/>
      <c r="AW133" s="70"/>
      <c r="AX133" s="70"/>
      <c r="AY133" s="70"/>
      <c r="AZ133" s="70"/>
      <c r="BA133" s="70"/>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row>
    <row r="134" s="23" customFormat="1" ht="36" customHeight="1" outlineLevel="2" spans="1:76">
      <c r="A134" s="61">
        <f t="shared" si="28"/>
        <v>11</v>
      </c>
      <c r="B134" s="64" t="s">
        <v>784</v>
      </c>
      <c r="C134" s="63" t="s">
        <v>785</v>
      </c>
      <c r="D134" s="64" t="s">
        <v>70</v>
      </c>
      <c r="E134" s="65">
        <v>1092.403</v>
      </c>
      <c r="F134" s="66">
        <f t="shared" si="29"/>
        <v>0</v>
      </c>
      <c r="G134" s="66">
        <f t="shared" si="30"/>
        <v>0</v>
      </c>
      <c r="H134" s="66">
        <f t="shared" si="31"/>
        <v>0</v>
      </c>
      <c r="I134" s="67">
        <f t="shared" si="32"/>
        <v>0</v>
      </c>
      <c r="J134" s="67">
        <f t="shared" si="33"/>
        <v>0</v>
      </c>
      <c r="K134" s="68">
        <f t="shared" si="34"/>
        <v>0</v>
      </c>
      <c r="L134" s="69"/>
      <c r="M134" s="70"/>
      <c r="N134" s="70"/>
      <c r="O134" s="70"/>
      <c r="P134" s="37">
        <f t="shared" si="35"/>
        <v>0</v>
      </c>
      <c r="Q134" s="71"/>
      <c r="R134" s="71"/>
      <c r="S134" s="71"/>
      <c r="T134" s="71"/>
      <c r="U134" s="71"/>
      <c r="V134" s="37">
        <f t="shared" si="36"/>
        <v>0</v>
      </c>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c r="AZ134" s="70"/>
      <c r="BA134" s="70"/>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row>
    <row r="135" s="23" customFormat="1" ht="25" customHeight="1" spans="1:76">
      <c r="A135" s="101"/>
      <c r="B135" s="48" t="s">
        <v>786</v>
      </c>
      <c r="C135" s="95"/>
      <c r="D135" s="50"/>
      <c r="E135" s="51"/>
      <c r="F135" s="104"/>
      <c r="G135" s="104"/>
      <c r="H135" s="104"/>
      <c r="I135" s="54"/>
      <c r="J135" s="54"/>
      <c r="K135" s="55">
        <f>+K136+K159+K176+K196+K209</f>
        <v>0</v>
      </c>
      <c r="L135" s="105"/>
      <c r="M135" s="70"/>
      <c r="N135" s="70"/>
      <c r="O135" s="70"/>
      <c r="P135" s="106"/>
      <c r="Q135" s="106"/>
      <c r="R135" s="106"/>
      <c r="S135" s="106"/>
      <c r="T135" s="106"/>
      <c r="U135" s="106"/>
      <c r="V135" s="106"/>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c r="AZ135" s="70"/>
      <c r="BA135" s="70"/>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row>
    <row r="136" s="23" customFormat="1" ht="20" customHeight="1" outlineLevel="1" spans="1:76">
      <c r="A136" s="112"/>
      <c r="B136" s="59" t="s">
        <v>787</v>
      </c>
      <c r="C136" s="102"/>
      <c r="D136" s="48"/>
      <c r="E136" s="103"/>
      <c r="F136" s="104"/>
      <c r="G136" s="104"/>
      <c r="H136" s="104"/>
      <c r="I136" s="54"/>
      <c r="J136" s="55"/>
      <c r="K136" s="55">
        <f>SUM(K137:K158)</f>
        <v>0</v>
      </c>
      <c r="L136" s="105"/>
      <c r="M136" s="70"/>
      <c r="N136" s="70"/>
      <c r="O136" s="70"/>
      <c r="P136" s="106"/>
      <c r="Q136" s="106"/>
      <c r="R136" s="106"/>
      <c r="S136" s="106"/>
      <c r="T136" s="106"/>
      <c r="U136" s="106"/>
      <c r="V136" s="106"/>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c r="AV136" s="70"/>
      <c r="AW136" s="70"/>
      <c r="AX136" s="70"/>
      <c r="AY136" s="70"/>
      <c r="AZ136" s="70"/>
      <c r="BA136" s="70"/>
      <c r="BB136" s="70"/>
      <c r="BC136" s="70"/>
      <c r="BD136" s="70"/>
      <c r="BE136" s="70"/>
      <c r="BF136" s="70"/>
      <c r="BG136" s="70"/>
      <c r="BH136" s="70"/>
      <c r="BI136" s="70"/>
      <c r="BJ136" s="70"/>
      <c r="BK136" s="70"/>
      <c r="BL136" s="70"/>
      <c r="BM136" s="70"/>
      <c r="BN136" s="70"/>
      <c r="BO136" s="70"/>
      <c r="BP136" s="70"/>
      <c r="BQ136" s="70"/>
      <c r="BR136" s="70"/>
      <c r="BS136" s="70"/>
      <c r="BT136" s="70"/>
      <c r="BU136" s="70"/>
      <c r="BV136" s="70"/>
      <c r="BW136" s="70"/>
      <c r="BX136" s="70"/>
    </row>
    <row r="137" s="23" customFormat="1" ht="72" customHeight="1" outlineLevel="2" spans="1:76">
      <c r="A137" s="61">
        <f t="shared" ref="A137:A158" si="37">A136+1</f>
        <v>1</v>
      </c>
      <c r="B137" s="62" t="s">
        <v>788</v>
      </c>
      <c r="C137" s="63" t="s">
        <v>789</v>
      </c>
      <c r="D137" s="64" t="s">
        <v>610</v>
      </c>
      <c r="E137" s="65">
        <v>1</v>
      </c>
      <c r="F137" s="66">
        <f t="shared" ref="F137:F158" si="38">S137*$S$1</f>
        <v>0</v>
      </c>
      <c r="G137" s="65">
        <f t="shared" ref="G137:G158" si="39">Q137*(1+R137)*$Q$1</f>
        <v>0</v>
      </c>
      <c r="H137" s="66">
        <f t="shared" ref="H137:H158" si="40">(T137+U137)*$T$1</f>
        <v>0</v>
      </c>
      <c r="I137" s="67">
        <f t="shared" ref="I137:I158" si="41">(F137+G137+H137)*$I$3</f>
        <v>0</v>
      </c>
      <c r="J137" s="67">
        <f t="shared" ref="J137:J158" si="42">F137+G137+H137+I137</f>
        <v>0</v>
      </c>
      <c r="K137" s="68">
        <f t="shared" ref="K137:K158" si="43">ROUND(E137*J137,2)</f>
        <v>0</v>
      </c>
      <c r="L137" s="69"/>
      <c r="M137" s="70"/>
      <c r="N137" s="70"/>
      <c r="O137" s="70"/>
      <c r="P137" s="37">
        <f t="shared" ref="P137:P158" si="44">Q137+Q137*R137+S137+T137+U137</f>
        <v>0</v>
      </c>
      <c r="Q137" s="71"/>
      <c r="R137" s="71"/>
      <c r="S137" s="71"/>
      <c r="T137" s="71"/>
      <c r="U137" s="71"/>
      <c r="V137" s="37">
        <f t="shared" ref="V137:V158" si="45">P137*E137</f>
        <v>0</v>
      </c>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row>
    <row r="138" s="23" customFormat="1" ht="72" customHeight="1" outlineLevel="2" spans="1:76">
      <c r="A138" s="61">
        <f t="shared" si="37"/>
        <v>2</v>
      </c>
      <c r="B138" s="62" t="s">
        <v>790</v>
      </c>
      <c r="C138" s="63" t="s">
        <v>791</v>
      </c>
      <c r="D138" s="64" t="s">
        <v>610</v>
      </c>
      <c r="E138" s="65">
        <v>2</v>
      </c>
      <c r="F138" s="66">
        <f t="shared" si="38"/>
        <v>0</v>
      </c>
      <c r="G138" s="65">
        <f t="shared" si="39"/>
        <v>0</v>
      </c>
      <c r="H138" s="66">
        <f t="shared" si="40"/>
        <v>0</v>
      </c>
      <c r="I138" s="67">
        <f t="shared" si="41"/>
        <v>0</v>
      </c>
      <c r="J138" s="67">
        <f t="shared" si="42"/>
        <v>0</v>
      </c>
      <c r="K138" s="68">
        <f t="shared" si="43"/>
        <v>0</v>
      </c>
      <c r="L138" s="69"/>
      <c r="M138" s="70"/>
      <c r="N138" s="70"/>
      <c r="O138" s="70"/>
      <c r="P138" s="37">
        <f t="shared" si="44"/>
        <v>0</v>
      </c>
      <c r="Q138" s="71"/>
      <c r="R138" s="71"/>
      <c r="S138" s="71"/>
      <c r="T138" s="71"/>
      <c r="U138" s="71"/>
      <c r="V138" s="37">
        <f t="shared" si="45"/>
        <v>0</v>
      </c>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c r="AV138" s="70"/>
      <c r="AW138" s="70"/>
      <c r="AX138" s="70"/>
      <c r="AY138" s="70"/>
      <c r="AZ138" s="70"/>
      <c r="BA138" s="70"/>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row>
    <row r="139" s="23" customFormat="1" ht="72" customHeight="1" outlineLevel="2" spans="1:76">
      <c r="A139" s="61">
        <f t="shared" si="37"/>
        <v>3</v>
      </c>
      <c r="B139" s="62" t="s">
        <v>792</v>
      </c>
      <c r="C139" s="63" t="s">
        <v>793</v>
      </c>
      <c r="D139" s="64" t="s">
        <v>610</v>
      </c>
      <c r="E139" s="65">
        <v>7</v>
      </c>
      <c r="F139" s="66">
        <f t="shared" si="38"/>
        <v>0</v>
      </c>
      <c r="G139" s="65">
        <f t="shared" si="39"/>
        <v>0</v>
      </c>
      <c r="H139" s="66">
        <f t="shared" si="40"/>
        <v>0</v>
      </c>
      <c r="I139" s="67">
        <f t="shared" si="41"/>
        <v>0</v>
      </c>
      <c r="J139" s="67">
        <f t="shared" si="42"/>
        <v>0</v>
      </c>
      <c r="K139" s="68">
        <f t="shared" si="43"/>
        <v>0</v>
      </c>
      <c r="L139" s="69"/>
      <c r="M139" s="70"/>
      <c r="N139" s="70"/>
      <c r="O139" s="70"/>
      <c r="P139" s="37">
        <f t="shared" si="44"/>
        <v>0</v>
      </c>
      <c r="Q139" s="71"/>
      <c r="R139" s="71"/>
      <c r="S139" s="71"/>
      <c r="T139" s="71"/>
      <c r="U139" s="71"/>
      <c r="V139" s="37">
        <f t="shared" si="45"/>
        <v>0</v>
      </c>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c r="AT139" s="70"/>
      <c r="AU139" s="70"/>
      <c r="AV139" s="70"/>
      <c r="AW139" s="70"/>
      <c r="AX139" s="70"/>
      <c r="AY139" s="70"/>
      <c r="AZ139" s="70"/>
      <c r="BA139" s="70"/>
      <c r="BB139" s="70"/>
      <c r="BC139" s="70"/>
      <c r="BD139" s="70"/>
      <c r="BE139" s="70"/>
      <c r="BF139" s="70"/>
      <c r="BG139" s="70"/>
      <c r="BH139" s="70"/>
      <c r="BI139" s="70"/>
      <c r="BJ139" s="70"/>
      <c r="BK139" s="70"/>
      <c r="BL139" s="70"/>
      <c r="BM139" s="70"/>
      <c r="BN139" s="70"/>
      <c r="BO139" s="70"/>
      <c r="BP139" s="70"/>
      <c r="BQ139" s="70"/>
      <c r="BR139" s="70"/>
      <c r="BS139" s="70"/>
      <c r="BT139" s="70"/>
      <c r="BU139" s="70"/>
      <c r="BV139" s="70"/>
      <c r="BW139" s="70"/>
      <c r="BX139" s="70"/>
    </row>
    <row r="140" s="23" customFormat="1" ht="72" customHeight="1" outlineLevel="2" spans="1:76">
      <c r="A140" s="61">
        <f t="shared" si="37"/>
        <v>4</v>
      </c>
      <c r="B140" s="62" t="s">
        <v>794</v>
      </c>
      <c r="C140" s="63" t="s">
        <v>795</v>
      </c>
      <c r="D140" s="64" t="s">
        <v>610</v>
      </c>
      <c r="E140" s="65">
        <v>2</v>
      </c>
      <c r="F140" s="66">
        <f t="shared" si="38"/>
        <v>0</v>
      </c>
      <c r="G140" s="65">
        <f t="shared" si="39"/>
        <v>0</v>
      </c>
      <c r="H140" s="66">
        <f t="shared" si="40"/>
        <v>0</v>
      </c>
      <c r="I140" s="67">
        <f t="shared" si="41"/>
        <v>0</v>
      </c>
      <c r="J140" s="67">
        <f t="shared" si="42"/>
        <v>0</v>
      </c>
      <c r="K140" s="68">
        <f t="shared" si="43"/>
        <v>0</v>
      </c>
      <c r="L140" s="69"/>
      <c r="M140" s="70"/>
      <c r="N140" s="70"/>
      <c r="O140" s="70"/>
      <c r="P140" s="37">
        <f t="shared" si="44"/>
        <v>0</v>
      </c>
      <c r="Q140" s="71"/>
      <c r="R140" s="71"/>
      <c r="S140" s="71"/>
      <c r="T140" s="71"/>
      <c r="U140" s="71"/>
      <c r="V140" s="37">
        <f t="shared" si="45"/>
        <v>0</v>
      </c>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70"/>
      <c r="AZ140" s="70"/>
      <c r="BA140" s="70"/>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row>
    <row r="141" s="23" customFormat="1" ht="96" customHeight="1" outlineLevel="2" spans="1:76">
      <c r="A141" s="61">
        <f t="shared" si="37"/>
        <v>5</v>
      </c>
      <c r="B141" s="62" t="s">
        <v>796</v>
      </c>
      <c r="C141" s="63" t="s">
        <v>797</v>
      </c>
      <c r="D141" s="64" t="s">
        <v>610</v>
      </c>
      <c r="E141" s="65">
        <v>2</v>
      </c>
      <c r="F141" s="66">
        <f t="shared" si="38"/>
        <v>0</v>
      </c>
      <c r="G141" s="65">
        <f t="shared" si="39"/>
        <v>0</v>
      </c>
      <c r="H141" s="66">
        <f t="shared" si="40"/>
        <v>0</v>
      </c>
      <c r="I141" s="67">
        <f t="shared" si="41"/>
        <v>0</v>
      </c>
      <c r="J141" s="67">
        <f t="shared" si="42"/>
        <v>0</v>
      </c>
      <c r="K141" s="68">
        <f t="shared" si="43"/>
        <v>0</v>
      </c>
      <c r="L141" s="69"/>
      <c r="M141" s="70"/>
      <c r="N141" s="70"/>
      <c r="O141" s="70"/>
      <c r="P141" s="37">
        <f t="shared" si="44"/>
        <v>0</v>
      </c>
      <c r="Q141" s="71"/>
      <c r="R141" s="71"/>
      <c r="S141" s="71"/>
      <c r="T141" s="71"/>
      <c r="U141" s="71"/>
      <c r="V141" s="37">
        <f t="shared" si="45"/>
        <v>0</v>
      </c>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70"/>
      <c r="AZ141" s="70"/>
      <c r="BA141" s="70"/>
      <c r="BB141" s="70"/>
      <c r="BC141" s="70"/>
      <c r="BD141" s="70"/>
      <c r="BE141" s="70"/>
      <c r="BF141" s="70"/>
      <c r="BG141" s="70"/>
      <c r="BH141" s="70"/>
      <c r="BI141" s="70"/>
      <c r="BJ141" s="70"/>
      <c r="BK141" s="70"/>
      <c r="BL141" s="70"/>
      <c r="BM141" s="70"/>
      <c r="BN141" s="70"/>
      <c r="BO141" s="70"/>
      <c r="BP141" s="70"/>
      <c r="BQ141" s="70"/>
      <c r="BR141" s="70"/>
      <c r="BS141" s="70"/>
      <c r="BT141" s="70"/>
      <c r="BU141" s="70"/>
      <c r="BV141" s="70"/>
      <c r="BW141" s="70"/>
      <c r="BX141" s="70"/>
    </row>
    <row r="142" s="23" customFormat="1" ht="96" customHeight="1" outlineLevel="2" spans="1:76">
      <c r="A142" s="61">
        <f t="shared" si="37"/>
        <v>6</v>
      </c>
      <c r="B142" s="62" t="s">
        <v>798</v>
      </c>
      <c r="C142" s="63" t="s">
        <v>799</v>
      </c>
      <c r="D142" s="64" t="s">
        <v>610</v>
      </c>
      <c r="E142" s="65">
        <v>4</v>
      </c>
      <c r="F142" s="66">
        <f t="shared" si="38"/>
        <v>0</v>
      </c>
      <c r="G142" s="65">
        <f t="shared" si="39"/>
        <v>0</v>
      </c>
      <c r="H142" s="66">
        <f t="shared" si="40"/>
        <v>0</v>
      </c>
      <c r="I142" s="67">
        <f t="shared" si="41"/>
        <v>0</v>
      </c>
      <c r="J142" s="67">
        <f t="shared" si="42"/>
        <v>0</v>
      </c>
      <c r="K142" s="68">
        <f t="shared" si="43"/>
        <v>0</v>
      </c>
      <c r="L142" s="69"/>
      <c r="M142" s="70"/>
      <c r="N142" s="70"/>
      <c r="O142" s="70"/>
      <c r="P142" s="37">
        <f t="shared" si="44"/>
        <v>0</v>
      </c>
      <c r="Q142" s="71"/>
      <c r="R142" s="71"/>
      <c r="S142" s="71"/>
      <c r="T142" s="71"/>
      <c r="U142" s="71"/>
      <c r="V142" s="37">
        <f t="shared" si="45"/>
        <v>0</v>
      </c>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70"/>
      <c r="AZ142" s="70"/>
      <c r="BA142" s="70"/>
      <c r="BB142" s="70"/>
      <c r="BC142" s="70"/>
      <c r="BD142" s="70"/>
      <c r="BE142" s="70"/>
      <c r="BF142" s="70"/>
      <c r="BG142" s="70"/>
      <c r="BH142" s="70"/>
      <c r="BI142" s="70"/>
      <c r="BJ142" s="70"/>
      <c r="BK142" s="70"/>
      <c r="BL142" s="70"/>
      <c r="BM142" s="70"/>
      <c r="BN142" s="70"/>
      <c r="BO142" s="70"/>
      <c r="BP142" s="70"/>
      <c r="BQ142" s="70"/>
      <c r="BR142" s="70"/>
      <c r="BS142" s="70"/>
      <c r="BT142" s="70"/>
      <c r="BU142" s="70"/>
      <c r="BV142" s="70"/>
      <c r="BW142" s="70"/>
      <c r="BX142" s="70"/>
    </row>
    <row r="143" s="23" customFormat="1" ht="96" customHeight="1" outlineLevel="2" spans="1:76">
      <c r="A143" s="61">
        <f t="shared" si="37"/>
        <v>7</v>
      </c>
      <c r="B143" s="62" t="s">
        <v>800</v>
      </c>
      <c r="C143" s="63" t="s">
        <v>801</v>
      </c>
      <c r="D143" s="64" t="s">
        <v>610</v>
      </c>
      <c r="E143" s="65">
        <v>1</v>
      </c>
      <c r="F143" s="66">
        <f t="shared" si="38"/>
        <v>0</v>
      </c>
      <c r="G143" s="65">
        <f t="shared" si="39"/>
        <v>0</v>
      </c>
      <c r="H143" s="66">
        <f t="shared" si="40"/>
        <v>0</v>
      </c>
      <c r="I143" s="67">
        <f t="shared" si="41"/>
        <v>0</v>
      </c>
      <c r="J143" s="67">
        <f t="shared" si="42"/>
        <v>0</v>
      </c>
      <c r="K143" s="68">
        <f t="shared" si="43"/>
        <v>0</v>
      </c>
      <c r="L143" s="69"/>
      <c r="M143" s="70"/>
      <c r="N143" s="70"/>
      <c r="O143" s="70"/>
      <c r="P143" s="37">
        <f t="shared" si="44"/>
        <v>0</v>
      </c>
      <c r="Q143" s="71"/>
      <c r="R143" s="71"/>
      <c r="S143" s="71"/>
      <c r="T143" s="71"/>
      <c r="U143" s="71"/>
      <c r="V143" s="37">
        <f t="shared" si="45"/>
        <v>0</v>
      </c>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0"/>
      <c r="AT143" s="70"/>
      <c r="AU143" s="70"/>
      <c r="AV143" s="70"/>
      <c r="AW143" s="70"/>
      <c r="AX143" s="70"/>
      <c r="AY143" s="70"/>
      <c r="AZ143" s="70"/>
      <c r="BA143" s="70"/>
      <c r="BB143" s="70"/>
      <c r="BC143" s="70"/>
      <c r="BD143" s="70"/>
      <c r="BE143" s="70"/>
      <c r="BF143" s="70"/>
      <c r="BG143" s="70"/>
      <c r="BH143" s="70"/>
      <c r="BI143" s="70"/>
      <c r="BJ143" s="70"/>
      <c r="BK143" s="70"/>
      <c r="BL143" s="70"/>
      <c r="BM143" s="70"/>
      <c r="BN143" s="70"/>
      <c r="BO143" s="70"/>
      <c r="BP143" s="70"/>
      <c r="BQ143" s="70"/>
      <c r="BR143" s="70"/>
      <c r="BS143" s="70"/>
      <c r="BT143" s="70"/>
      <c r="BU143" s="70"/>
      <c r="BV143" s="70"/>
      <c r="BW143" s="70"/>
      <c r="BX143" s="70"/>
    </row>
    <row r="144" s="23" customFormat="1" ht="96" customHeight="1" outlineLevel="2" spans="1:76">
      <c r="A144" s="61">
        <f t="shared" si="37"/>
        <v>8</v>
      </c>
      <c r="B144" s="62" t="s">
        <v>802</v>
      </c>
      <c r="C144" s="63" t="s">
        <v>803</v>
      </c>
      <c r="D144" s="64" t="s">
        <v>610</v>
      </c>
      <c r="E144" s="65">
        <v>2</v>
      </c>
      <c r="F144" s="66">
        <f t="shared" si="38"/>
        <v>0</v>
      </c>
      <c r="G144" s="65">
        <f t="shared" si="39"/>
        <v>0</v>
      </c>
      <c r="H144" s="66">
        <f t="shared" si="40"/>
        <v>0</v>
      </c>
      <c r="I144" s="67">
        <f t="shared" si="41"/>
        <v>0</v>
      </c>
      <c r="J144" s="67">
        <f t="shared" si="42"/>
        <v>0</v>
      </c>
      <c r="K144" s="68">
        <f t="shared" si="43"/>
        <v>0</v>
      </c>
      <c r="L144" s="69"/>
      <c r="M144" s="70"/>
      <c r="N144" s="70"/>
      <c r="O144" s="70"/>
      <c r="P144" s="37">
        <f t="shared" si="44"/>
        <v>0</v>
      </c>
      <c r="Q144" s="71"/>
      <c r="R144" s="71"/>
      <c r="S144" s="71"/>
      <c r="T144" s="71"/>
      <c r="U144" s="71"/>
      <c r="V144" s="37">
        <f t="shared" si="45"/>
        <v>0</v>
      </c>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70"/>
      <c r="AX144" s="70"/>
      <c r="AY144" s="70"/>
      <c r="AZ144" s="70"/>
      <c r="BA144" s="70"/>
      <c r="BB144" s="70"/>
      <c r="BC144" s="70"/>
      <c r="BD144" s="70"/>
      <c r="BE144" s="70"/>
      <c r="BF144" s="70"/>
      <c r="BG144" s="70"/>
      <c r="BH144" s="70"/>
      <c r="BI144" s="70"/>
      <c r="BJ144" s="70"/>
      <c r="BK144" s="70"/>
      <c r="BL144" s="70"/>
      <c r="BM144" s="70"/>
      <c r="BN144" s="70"/>
      <c r="BO144" s="70"/>
      <c r="BP144" s="70"/>
      <c r="BQ144" s="70"/>
      <c r="BR144" s="70"/>
      <c r="BS144" s="70"/>
      <c r="BT144" s="70"/>
      <c r="BU144" s="70"/>
      <c r="BV144" s="70"/>
      <c r="BW144" s="70"/>
      <c r="BX144" s="70"/>
    </row>
    <row r="145" s="23" customFormat="1" ht="84" customHeight="1" outlineLevel="2" spans="1:76">
      <c r="A145" s="61">
        <f t="shared" si="37"/>
        <v>9</v>
      </c>
      <c r="B145" s="62" t="s">
        <v>804</v>
      </c>
      <c r="C145" s="63" t="s">
        <v>805</v>
      </c>
      <c r="D145" s="64" t="s">
        <v>610</v>
      </c>
      <c r="E145" s="65">
        <v>1</v>
      </c>
      <c r="F145" s="66">
        <f t="shared" si="38"/>
        <v>0</v>
      </c>
      <c r="G145" s="65">
        <f t="shared" si="39"/>
        <v>0</v>
      </c>
      <c r="H145" s="66">
        <f t="shared" si="40"/>
        <v>0</v>
      </c>
      <c r="I145" s="67">
        <f t="shared" si="41"/>
        <v>0</v>
      </c>
      <c r="J145" s="67">
        <f t="shared" si="42"/>
        <v>0</v>
      </c>
      <c r="K145" s="68">
        <f t="shared" si="43"/>
        <v>0</v>
      </c>
      <c r="L145" s="69"/>
      <c r="M145" s="70"/>
      <c r="N145" s="70"/>
      <c r="O145" s="70"/>
      <c r="P145" s="37">
        <f t="shared" si="44"/>
        <v>0</v>
      </c>
      <c r="Q145" s="71"/>
      <c r="R145" s="71"/>
      <c r="S145" s="71"/>
      <c r="T145" s="71"/>
      <c r="U145" s="71"/>
      <c r="V145" s="37">
        <f t="shared" si="45"/>
        <v>0</v>
      </c>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70"/>
      <c r="AX145" s="70"/>
      <c r="AY145" s="70"/>
      <c r="AZ145" s="70"/>
      <c r="BA145" s="70"/>
      <c r="BB145" s="70"/>
      <c r="BC145" s="70"/>
      <c r="BD145" s="70"/>
      <c r="BE145" s="70"/>
      <c r="BF145" s="70"/>
      <c r="BG145" s="70"/>
      <c r="BH145" s="70"/>
      <c r="BI145" s="70"/>
      <c r="BJ145" s="70"/>
      <c r="BK145" s="70"/>
      <c r="BL145" s="70"/>
      <c r="BM145" s="70"/>
      <c r="BN145" s="70"/>
      <c r="BO145" s="70"/>
      <c r="BP145" s="70"/>
      <c r="BQ145" s="70"/>
      <c r="BR145" s="70"/>
      <c r="BS145" s="70"/>
      <c r="BT145" s="70"/>
      <c r="BU145" s="70"/>
      <c r="BV145" s="70"/>
      <c r="BW145" s="70"/>
      <c r="BX145" s="70"/>
    </row>
    <row r="146" s="23" customFormat="1" ht="84" customHeight="1" outlineLevel="2" spans="1:76">
      <c r="A146" s="61">
        <f t="shared" si="37"/>
        <v>10</v>
      </c>
      <c r="B146" s="62" t="s">
        <v>806</v>
      </c>
      <c r="C146" s="63" t="s">
        <v>807</v>
      </c>
      <c r="D146" s="64" t="s">
        <v>610</v>
      </c>
      <c r="E146" s="65">
        <v>1</v>
      </c>
      <c r="F146" s="66">
        <f t="shared" si="38"/>
        <v>0</v>
      </c>
      <c r="G146" s="65">
        <f t="shared" si="39"/>
        <v>0</v>
      </c>
      <c r="H146" s="66">
        <f t="shared" si="40"/>
        <v>0</v>
      </c>
      <c r="I146" s="67">
        <f t="shared" si="41"/>
        <v>0</v>
      </c>
      <c r="J146" s="67">
        <f t="shared" si="42"/>
        <v>0</v>
      </c>
      <c r="K146" s="68">
        <f t="shared" si="43"/>
        <v>0</v>
      </c>
      <c r="L146" s="69"/>
      <c r="M146" s="70"/>
      <c r="N146" s="70"/>
      <c r="O146" s="70"/>
      <c r="P146" s="37">
        <f t="shared" si="44"/>
        <v>0</v>
      </c>
      <c r="Q146" s="71"/>
      <c r="R146" s="71"/>
      <c r="S146" s="71"/>
      <c r="T146" s="71"/>
      <c r="U146" s="71"/>
      <c r="V146" s="37">
        <f t="shared" si="45"/>
        <v>0</v>
      </c>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c r="AV146" s="70"/>
      <c r="AW146" s="70"/>
      <c r="AX146" s="70"/>
      <c r="AY146" s="70"/>
      <c r="AZ146" s="70"/>
      <c r="BA146" s="70"/>
      <c r="BB146" s="70"/>
      <c r="BC146" s="70"/>
      <c r="BD146" s="70"/>
      <c r="BE146" s="70"/>
      <c r="BF146" s="70"/>
      <c r="BG146" s="70"/>
      <c r="BH146" s="70"/>
      <c r="BI146" s="70"/>
      <c r="BJ146" s="70"/>
      <c r="BK146" s="70"/>
      <c r="BL146" s="70"/>
      <c r="BM146" s="70"/>
      <c r="BN146" s="70"/>
      <c r="BO146" s="70"/>
      <c r="BP146" s="70"/>
      <c r="BQ146" s="70"/>
      <c r="BR146" s="70"/>
      <c r="BS146" s="70"/>
      <c r="BT146" s="70"/>
      <c r="BU146" s="70"/>
      <c r="BV146" s="70"/>
      <c r="BW146" s="70"/>
      <c r="BX146" s="70"/>
    </row>
    <row r="147" s="23" customFormat="1" ht="84" customHeight="1" outlineLevel="2" spans="1:76">
      <c r="A147" s="61">
        <f t="shared" si="37"/>
        <v>11</v>
      </c>
      <c r="B147" s="62" t="s">
        <v>808</v>
      </c>
      <c r="C147" s="63" t="s">
        <v>809</v>
      </c>
      <c r="D147" s="64" t="s">
        <v>610</v>
      </c>
      <c r="E147" s="65">
        <v>2</v>
      </c>
      <c r="F147" s="66">
        <f t="shared" si="38"/>
        <v>0</v>
      </c>
      <c r="G147" s="65">
        <f t="shared" si="39"/>
        <v>0</v>
      </c>
      <c r="H147" s="66">
        <f t="shared" si="40"/>
        <v>0</v>
      </c>
      <c r="I147" s="67">
        <f t="shared" si="41"/>
        <v>0</v>
      </c>
      <c r="J147" s="67">
        <f t="shared" si="42"/>
        <v>0</v>
      </c>
      <c r="K147" s="68">
        <f t="shared" si="43"/>
        <v>0</v>
      </c>
      <c r="L147" s="69"/>
      <c r="M147" s="70"/>
      <c r="N147" s="70"/>
      <c r="O147" s="70"/>
      <c r="P147" s="37">
        <f t="shared" si="44"/>
        <v>0</v>
      </c>
      <c r="Q147" s="71"/>
      <c r="R147" s="71"/>
      <c r="S147" s="71"/>
      <c r="T147" s="71"/>
      <c r="U147" s="71"/>
      <c r="V147" s="37">
        <f t="shared" si="45"/>
        <v>0</v>
      </c>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c r="AT147" s="70"/>
      <c r="AU147" s="70"/>
      <c r="AV147" s="70"/>
      <c r="AW147" s="70"/>
      <c r="AX147" s="70"/>
      <c r="AY147" s="70"/>
      <c r="AZ147" s="70"/>
      <c r="BA147" s="70"/>
      <c r="BB147" s="70"/>
      <c r="BC147" s="70"/>
      <c r="BD147" s="70"/>
      <c r="BE147" s="70"/>
      <c r="BF147" s="70"/>
      <c r="BG147" s="70"/>
      <c r="BH147" s="70"/>
      <c r="BI147" s="70"/>
      <c r="BJ147" s="70"/>
      <c r="BK147" s="70"/>
      <c r="BL147" s="70"/>
      <c r="BM147" s="70"/>
      <c r="BN147" s="70"/>
      <c r="BO147" s="70"/>
      <c r="BP147" s="70"/>
      <c r="BQ147" s="70"/>
      <c r="BR147" s="70"/>
      <c r="BS147" s="70"/>
      <c r="BT147" s="70"/>
      <c r="BU147" s="70"/>
      <c r="BV147" s="70"/>
      <c r="BW147" s="70"/>
      <c r="BX147" s="70"/>
    </row>
    <row r="148" s="23" customFormat="1" ht="84" customHeight="1" outlineLevel="2" spans="1:76">
      <c r="A148" s="61">
        <f t="shared" si="37"/>
        <v>12</v>
      </c>
      <c r="B148" s="62" t="s">
        <v>810</v>
      </c>
      <c r="C148" s="63" t="s">
        <v>811</v>
      </c>
      <c r="D148" s="64" t="s">
        <v>610</v>
      </c>
      <c r="E148" s="65">
        <v>6</v>
      </c>
      <c r="F148" s="66">
        <f t="shared" si="38"/>
        <v>0</v>
      </c>
      <c r="G148" s="65">
        <f t="shared" si="39"/>
        <v>0</v>
      </c>
      <c r="H148" s="66">
        <f t="shared" si="40"/>
        <v>0</v>
      </c>
      <c r="I148" s="67">
        <f t="shared" si="41"/>
        <v>0</v>
      </c>
      <c r="J148" s="67">
        <f t="shared" si="42"/>
        <v>0</v>
      </c>
      <c r="K148" s="68">
        <f t="shared" si="43"/>
        <v>0</v>
      </c>
      <c r="L148" s="69"/>
      <c r="M148" s="70"/>
      <c r="N148" s="70"/>
      <c r="O148" s="70"/>
      <c r="P148" s="37">
        <f t="shared" si="44"/>
        <v>0</v>
      </c>
      <c r="Q148" s="71"/>
      <c r="R148" s="71"/>
      <c r="S148" s="71"/>
      <c r="T148" s="71"/>
      <c r="U148" s="71"/>
      <c r="V148" s="37">
        <f t="shared" si="45"/>
        <v>0</v>
      </c>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c r="AT148" s="70"/>
      <c r="AU148" s="70"/>
      <c r="AV148" s="70"/>
      <c r="AW148" s="70"/>
      <c r="AX148" s="70"/>
      <c r="AY148" s="70"/>
      <c r="AZ148" s="70"/>
      <c r="BA148" s="70"/>
      <c r="BB148" s="70"/>
      <c r="BC148" s="70"/>
      <c r="BD148" s="70"/>
      <c r="BE148" s="70"/>
      <c r="BF148" s="70"/>
      <c r="BG148" s="70"/>
      <c r="BH148" s="70"/>
      <c r="BI148" s="70"/>
      <c r="BJ148" s="70"/>
      <c r="BK148" s="70"/>
      <c r="BL148" s="70"/>
      <c r="BM148" s="70"/>
      <c r="BN148" s="70"/>
      <c r="BO148" s="70"/>
      <c r="BP148" s="70"/>
      <c r="BQ148" s="70"/>
      <c r="BR148" s="70"/>
      <c r="BS148" s="70"/>
      <c r="BT148" s="70"/>
      <c r="BU148" s="70"/>
      <c r="BV148" s="70"/>
      <c r="BW148" s="70"/>
      <c r="BX148" s="70"/>
    </row>
    <row r="149" s="23" customFormat="1" ht="84" customHeight="1" outlineLevel="2" spans="1:76">
      <c r="A149" s="61">
        <f t="shared" si="37"/>
        <v>13</v>
      </c>
      <c r="B149" s="62" t="s">
        <v>812</v>
      </c>
      <c r="C149" s="63" t="s">
        <v>813</v>
      </c>
      <c r="D149" s="64" t="s">
        <v>610</v>
      </c>
      <c r="E149" s="65">
        <v>2</v>
      </c>
      <c r="F149" s="66">
        <f t="shared" si="38"/>
        <v>0</v>
      </c>
      <c r="G149" s="65">
        <f t="shared" si="39"/>
        <v>0</v>
      </c>
      <c r="H149" s="66">
        <f t="shared" si="40"/>
        <v>0</v>
      </c>
      <c r="I149" s="67">
        <f t="shared" si="41"/>
        <v>0</v>
      </c>
      <c r="J149" s="67">
        <f t="shared" si="42"/>
        <v>0</v>
      </c>
      <c r="K149" s="68">
        <f t="shared" si="43"/>
        <v>0</v>
      </c>
      <c r="L149" s="69"/>
      <c r="M149" s="70"/>
      <c r="N149" s="70"/>
      <c r="O149" s="70"/>
      <c r="P149" s="37">
        <f t="shared" si="44"/>
        <v>0</v>
      </c>
      <c r="Q149" s="71"/>
      <c r="R149" s="71"/>
      <c r="S149" s="71"/>
      <c r="T149" s="71"/>
      <c r="U149" s="71"/>
      <c r="V149" s="37">
        <f t="shared" si="45"/>
        <v>0</v>
      </c>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c r="AV149" s="70"/>
      <c r="AW149" s="70"/>
      <c r="AX149" s="70"/>
      <c r="AY149" s="70"/>
      <c r="AZ149" s="70"/>
      <c r="BA149" s="70"/>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row>
    <row r="150" s="23" customFormat="1" ht="96" customHeight="1" outlineLevel="2" spans="1:76">
      <c r="A150" s="61">
        <f t="shared" si="37"/>
        <v>14</v>
      </c>
      <c r="B150" s="62" t="s">
        <v>814</v>
      </c>
      <c r="C150" s="63" t="s">
        <v>815</v>
      </c>
      <c r="D150" s="64" t="s">
        <v>610</v>
      </c>
      <c r="E150" s="65">
        <v>9</v>
      </c>
      <c r="F150" s="66">
        <f t="shared" si="38"/>
        <v>0</v>
      </c>
      <c r="G150" s="65">
        <f t="shared" si="39"/>
        <v>0</v>
      </c>
      <c r="H150" s="66">
        <f t="shared" si="40"/>
        <v>0</v>
      </c>
      <c r="I150" s="67">
        <f t="shared" si="41"/>
        <v>0</v>
      </c>
      <c r="J150" s="67">
        <f t="shared" si="42"/>
        <v>0</v>
      </c>
      <c r="K150" s="68">
        <f t="shared" si="43"/>
        <v>0</v>
      </c>
      <c r="L150" s="69"/>
      <c r="M150" s="70"/>
      <c r="N150" s="70"/>
      <c r="O150" s="70"/>
      <c r="P150" s="37">
        <f t="shared" si="44"/>
        <v>0</v>
      </c>
      <c r="Q150" s="71"/>
      <c r="R150" s="71"/>
      <c r="S150" s="71"/>
      <c r="T150" s="71"/>
      <c r="U150" s="71"/>
      <c r="V150" s="37">
        <f t="shared" si="45"/>
        <v>0</v>
      </c>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c r="AT150" s="70"/>
      <c r="AU150" s="70"/>
      <c r="AV150" s="70"/>
      <c r="AW150" s="70"/>
      <c r="AX150" s="70"/>
      <c r="AY150" s="70"/>
      <c r="AZ150" s="70"/>
      <c r="BA150" s="70"/>
      <c r="BB150" s="70"/>
      <c r="BC150" s="70"/>
      <c r="BD150" s="70"/>
      <c r="BE150" s="70"/>
      <c r="BF150" s="70"/>
      <c r="BG150" s="70"/>
      <c r="BH150" s="70"/>
      <c r="BI150" s="70"/>
      <c r="BJ150" s="70"/>
      <c r="BK150" s="70"/>
      <c r="BL150" s="70"/>
      <c r="BM150" s="70"/>
      <c r="BN150" s="70"/>
      <c r="BO150" s="70"/>
      <c r="BP150" s="70"/>
      <c r="BQ150" s="70"/>
      <c r="BR150" s="70"/>
      <c r="BS150" s="70"/>
      <c r="BT150" s="70"/>
      <c r="BU150" s="70"/>
      <c r="BV150" s="70"/>
      <c r="BW150" s="70"/>
      <c r="BX150" s="70"/>
    </row>
    <row r="151" s="23" customFormat="1" ht="96" customHeight="1" outlineLevel="2" spans="1:76">
      <c r="A151" s="61">
        <f t="shared" si="37"/>
        <v>15</v>
      </c>
      <c r="B151" s="62" t="s">
        <v>816</v>
      </c>
      <c r="C151" s="63" t="s">
        <v>817</v>
      </c>
      <c r="D151" s="64" t="s">
        <v>610</v>
      </c>
      <c r="E151" s="65">
        <v>5</v>
      </c>
      <c r="F151" s="66">
        <f t="shared" si="38"/>
        <v>0</v>
      </c>
      <c r="G151" s="65">
        <f t="shared" si="39"/>
        <v>0</v>
      </c>
      <c r="H151" s="66">
        <f t="shared" si="40"/>
        <v>0</v>
      </c>
      <c r="I151" s="67">
        <f t="shared" si="41"/>
        <v>0</v>
      </c>
      <c r="J151" s="67">
        <f t="shared" si="42"/>
        <v>0</v>
      </c>
      <c r="K151" s="68">
        <f t="shared" si="43"/>
        <v>0</v>
      </c>
      <c r="L151" s="69"/>
      <c r="M151" s="70"/>
      <c r="N151" s="70"/>
      <c r="O151" s="70"/>
      <c r="P151" s="37">
        <f t="shared" si="44"/>
        <v>0</v>
      </c>
      <c r="Q151" s="71"/>
      <c r="R151" s="71"/>
      <c r="S151" s="71"/>
      <c r="T151" s="71"/>
      <c r="U151" s="71"/>
      <c r="V151" s="37">
        <f t="shared" si="45"/>
        <v>0</v>
      </c>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c r="AZ151" s="70"/>
      <c r="BA151" s="70"/>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row>
    <row r="152" s="23" customFormat="1" ht="96" customHeight="1" outlineLevel="2" spans="1:76">
      <c r="A152" s="61">
        <f t="shared" si="37"/>
        <v>16</v>
      </c>
      <c r="B152" s="62" t="s">
        <v>818</v>
      </c>
      <c r="C152" s="63" t="s">
        <v>819</v>
      </c>
      <c r="D152" s="64" t="s">
        <v>610</v>
      </c>
      <c r="E152" s="65">
        <v>5</v>
      </c>
      <c r="F152" s="66">
        <f t="shared" si="38"/>
        <v>0</v>
      </c>
      <c r="G152" s="65">
        <f t="shared" si="39"/>
        <v>0</v>
      </c>
      <c r="H152" s="66">
        <f t="shared" si="40"/>
        <v>0</v>
      </c>
      <c r="I152" s="67">
        <f t="shared" si="41"/>
        <v>0</v>
      </c>
      <c r="J152" s="67">
        <f t="shared" si="42"/>
        <v>0</v>
      </c>
      <c r="K152" s="68">
        <f t="shared" si="43"/>
        <v>0</v>
      </c>
      <c r="L152" s="69"/>
      <c r="M152" s="70"/>
      <c r="N152" s="70"/>
      <c r="O152" s="70"/>
      <c r="P152" s="37">
        <f t="shared" si="44"/>
        <v>0</v>
      </c>
      <c r="Q152" s="71"/>
      <c r="R152" s="71"/>
      <c r="S152" s="71"/>
      <c r="T152" s="71"/>
      <c r="U152" s="71"/>
      <c r="V152" s="37">
        <f t="shared" si="45"/>
        <v>0</v>
      </c>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row>
    <row r="153" s="23" customFormat="1" ht="96" customHeight="1" outlineLevel="2" spans="1:76">
      <c r="A153" s="61">
        <f t="shared" si="37"/>
        <v>17</v>
      </c>
      <c r="B153" s="62" t="s">
        <v>820</v>
      </c>
      <c r="C153" s="63" t="s">
        <v>821</v>
      </c>
      <c r="D153" s="64" t="s">
        <v>610</v>
      </c>
      <c r="E153" s="65">
        <v>26</v>
      </c>
      <c r="F153" s="66">
        <f t="shared" si="38"/>
        <v>0</v>
      </c>
      <c r="G153" s="65">
        <f t="shared" si="39"/>
        <v>0</v>
      </c>
      <c r="H153" s="66">
        <f t="shared" si="40"/>
        <v>0</v>
      </c>
      <c r="I153" s="67">
        <f t="shared" si="41"/>
        <v>0</v>
      </c>
      <c r="J153" s="67">
        <f t="shared" si="42"/>
        <v>0</v>
      </c>
      <c r="K153" s="68">
        <f t="shared" si="43"/>
        <v>0</v>
      </c>
      <c r="L153" s="69"/>
      <c r="M153" s="70"/>
      <c r="N153" s="70"/>
      <c r="O153" s="70"/>
      <c r="P153" s="37">
        <f t="shared" si="44"/>
        <v>0</v>
      </c>
      <c r="Q153" s="71"/>
      <c r="R153" s="71"/>
      <c r="S153" s="71"/>
      <c r="T153" s="71"/>
      <c r="U153" s="71"/>
      <c r="V153" s="37">
        <f t="shared" si="45"/>
        <v>0</v>
      </c>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c r="AZ153" s="70"/>
      <c r="BA153" s="70"/>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row>
    <row r="154" s="23" customFormat="1" ht="96" customHeight="1" outlineLevel="2" spans="1:76">
      <c r="A154" s="61">
        <f t="shared" si="37"/>
        <v>18</v>
      </c>
      <c r="B154" s="62" t="s">
        <v>822</v>
      </c>
      <c r="C154" s="63" t="s">
        <v>823</v>
      </c>
      <c r="D154" s="64" t="s">
        <v>610</v>
      </c>
      <c r="E154" s="65">
        <v>1</v>
      </c>
      <c r="F154" s="66">
        <f t="shared" si="38"/>
        <v>0</v>
      </c>
      <c r="G154" s="65">
        <f t="shared" si="39"/>
        <v>0</v>
      </c>
      <c r="H154" s="66">
        <f t="shared" si="40"/>
        <v>0</v>
      </c>
      <c r="I154" s="67">
        <f t="shared" si="41"/>
        <v>0</v>
      </c>
      <c r="J154" s="67">
        <f t="shared" si="42"/>
        <v>0</v>
      </c>
      <c r="K154" s="68">
        <f t="shared" si="43"/>
        <v>0</v>
      </c>
      <c r="L154" s="69"/>
      <c r="M154" s="70"/>
      <c r="N154" s="70"/>
      <c r="O154" s="70"/>
      <c r="P154" s="37">
        <f t="shared" si="44"/>
        <v>0</v>
      </c>
      <c r="Q154" s="71"/>
      <c r="R154" s="71"/>
      <c r="S154" s="71"/>
      <c r="T154" s="71"/>
      <c r="U154" s="71"/>
      <c r="V154" s="37">
        <f t="shared" si="45"/>
        <v>0</v>
      </c>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c r="AZ154" s="70"/>
      <c r="BA154" s="70"/>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row>
    <row r="155" s="23" customFormat="1" ht="96" customHeight="1" outlineLevel="2" spans="1:76">
      <c r="A155" s="61">
        <f t="shared" si="37"/>
        <v>19</v>
      </c>
      <c r="B155" s="62" t="s">
        <v>824</v>
      </c>
      <c r="C155" s="63" t="s">
        <v>825</v>
      </c>
      <c r="D155" s="64" t="s">
        <v>610</v>
      </c>
      <c r="E155" s="65">
        <v>1</v>
      </c>
      <c r="F155" s="66">
        <f t="shared" si="38"/>
        <v>0</v>
      </c>
      <c r="G155" s="65">
        <f t="shared" si="39"/>
        <v>0</v>
      </c>
      <c r="H155" s="66">
        <f t="shared" si="40"/>
        <v>0</v>
      </c>
      <c r="I155" s="67">
        <f t="shared" si="41"/>
        <v>0</v>
      </c>
      <c r="J155" s="67">
        <f t="shared" si="42"/>
        <v>0</v>
      </c>
      <c r="K155" s="68">
        <f t="shared" si="43"/>
        <v>0</v>
      </c>
      <c r="L155" s="69"/>
      <c r="M155" s="70"/>
      <c r="N155" s="70"/>
      <c r="O155" s="70"/>
      <c r="P155" s="37">
        <f t="shared" si="44"/>
        <v>0</v>
      </c>
      <c r="Q155" s="71"/>
      <c r="R155" s="71"/>
      <c r="S155" s="71"/>
      <c r="T155" s="71"/>
      <c r="U155" s="71"/>
      <c r="V155" s="37">
        <f t="shared" si="45"/>
        <v>0</v>
      </c>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c r="AV155" s="70"/>
      <c r="AW155" s="70"/>
      <c r="AX155" s="70"/>
      <c r="AY155" s="70"/>
      <c r="AZ155" s="70"/>
      <c r="BA155" s="70"/>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row>
    <row r="156" s="23" customFormat="1" ht="36" customHeight="1" outlineLevel="2" spans="1:76">
      <c r="A156" s="61">
        <f t="shared" si="37"/>
        <v>20</v>
      </c>
      <c r="B156" s="62" t="s">
        <v>826</v>
      </c>
      <c r="C156" s="63" t="s">
        <v>827</v>
      </c>
      <c r="D156" s="64" t="s">
        <v>828</v>
      </c>
      <c r="E156" s="65">
        <v>42.272</v>
      </c>
      <c r="F156" s="66">
        <f t="shared" si="38"/>
        <v>0</v>
      </c>
      <c r="G156" s="65">
        <f t="shared" si="39"/>
        <v>0</v>
      </c>
      <c r="H156" s="66">
        <f t="shared" si="40"/>
        <v>0</v>
      </c>
      <c r="I156" s="67">
        <f t="shared" si="41"/>
        <v>0</v>
      </c>
      <c r="J156" s="67">
        <f t="shared" si="42"/>
        <v>0</v>
      </c>
      <c r="K156" s="68">
        <f t="shared" si="43"/>
        <v>0</v>
      </c>
      <c r="L156" s="69"/>
      <c r="M156" s="70"/>
      <c r="N156" s="70"/>
      <c r="O156" s="70"/>
      <c r="P156" s="37">
        <f t="shared" si="44"/>
        <v>0</v>
      </c>
      <c r="Q156" s="71"/>
      <c r="R156" s="71"/>
      <c r="S156" s="71"/>
      <c r="T156" s="71"/>
      <c r="U156" s="71"/>
      <c r="V156" s="37">
        <f t="shared" si="45"/>
        <v>0</v>
      </c>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c r="AV156" s="70"/>
      <c r="AW156" s="70"/>
      <c r="AX156" s="70"/>
      <c r="AY156" s="70"/>
      <c r="AZ156" s="70"/>
      <c r="BA156" s="70"/>
      <c r="BB156" s="70"/>
      <c r="BC156" s="70"/>
      <c r="BD156" s="70"/>
      <c r="BE156" s="70"/>
      <c r="BF156" s="70"/>
      <c r="BG156" s="70"/>
      <c r="BH156" s="70"/>
      <c r="BI156" s="70"/>
      <c r="BJ156" s="70"/>
      <c r="BK156" s="70"/>
      <c r="BL156" s="70"/>
      <c r="BM156" s="70"/>
      <c r="BN156" s="70"/>
      <c r="BO156" s="70"/>
      <c r="BP156" s="70"/>
      <c r="BQ156" s="70"/>
      <c r="BR156" s="70"/>
      <c r="BS156" s="70"/>
      <c r="BT156" s="70"/>
      <c r="BU156" s="70"/>
      <c r="BV156" s="70"/>
      <c r="BW156" s="70"/>
      <c r="BX156" s="70"/>
    </row>
    <row r="157" s="23" customFormat="1" ht="156" customHeight="1" outlineLevel="2" spans="1:76">
      <c r="A157" s="61">
        <f t="shared" si="37"/>
        <v>21</v>
      </c>
      <c r="B157" s="62" t="s">
        <v>829</v>
      </c>
      <c r="C157" s="63" t="s">
        <v>830</v>
      </c>
      <c r="D157" s="64" t="s">
        <v>828</v>
      </c>
      <c r="E157" s="65">
        <v>159.96</v>
      </c>
      <c r="F157" s="66">
        <f t="shared" si="38"/>
        <v>0</v>
      </c>
      <c r="G157" s="65">
        <f t="shared" si="39"/>
        <v>0</v>
      </c>
      <c r="H157" s="66">
        <f t="shared" si="40"/>
        <v>0</v>
      </c>
      <c r="I157" s="67">
        <f t="shared" si="41"/>
        <v>0</v>
      </c>
      <c r="J157" s="67">
        <f t="shared" si="42"/>
        <v>0</v>
      </c>
      <c r="K157" s="68">
        <f t="shared" si="43"/>
        <v>0</v>
      </c>
      <c r="L157" s="69"/>
      <c r="M157" s="70"/>
      <c r="N157" s="70"/>
      <c r="O157" s="70"/>
      <c r="P157" s="37">
        <f t="shared" si="44"/>
        <v>0</v>
      </c>
      <c r="Q157" s="71"/>
      <c r="R157" s="71"/>
      <c r="S157" s="71"/>
      <c r="T157" s="71"/>
      <c r="U157" s="71"/>
      <c r="V157" s="37">
        <f t="shared" si="45"/>
        <v>0</v>
      </c>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c r="AV157" s="70"/>
      <c r="AW157" s="70"/>
      <c r="AX157" s="70"/>
      <c r="AY157" s="70"/>
      <c r="AZ157" s="70"/>
      <c r="BA157" s="70"/>
      <c r="BB157" s="70"/>
      <c r="BC157" s="70"/>
      <c r="BD157" s="70"/>
      <c r="BE157" s="70"/>
      <c r="BF157" s="70"/>
      <c r="BG157" s="70"/>
      <c r="BH157" s="70"/>
      <c r="BI157" s="70"/>
      <c r="BJ157" s="70"/>
      <c r="BK157" s="70"/>
      <c r="BL157" s="70"/>
      <c r="BM157" s="70"/>
      <c r="BN157" s="70"/>
      <c r="BO157" s="70"/>
      <c r="BP157" s="70"/>
      <c r="BQ157" s="70"/>
      <c r="BR157" s="70"/>
      <c r="BS157" s="70"/>
      <c r="BT157" s="70"/>
      <c r="BU157" s="70"/>
      <c r="BV157" s="70"/>
      <c r="BW157" s="70"/>
      <c r="BX157" s="70"/>
    </row>
    <row r="158" s="23" customFormat="1" ht="156" customHeight="1" outlineLevel="2" spans="1:76">
      <c r="A158" s="61">
        <f t="shared" si="37"/>
        <v>22</v>
      </c>
      <c r="B158" s="62" t="s">
        <v>829</v>
      </c>
      <c r="C158" s="63" t="s">
        <v>831</v>
      </c>
      <c r="D158" s="64" t="s">
        <v>828</v>
      </c>
      <c r="E158" s="65">
        <v>449.856</v>
      </c>
      <c r="F158" s="66">
        <f t="shared" si="38"/>
        <v>0</v>
      </c>
      <c r="G158" s="65">
        <f t="shared" si="39"/>
        <v>0</v>
      </c>
      <c r="H158" s="66">
        <f t="shared" si="40"/>
        <v>0</v>
      </c>
      <c r="I158" s="67">
        <f t="shared" si="41"/>
        <v>0</v>
      </c>
      <c r="J158" s="67">
        <f t="shared" si="42"/>
        <v>0</v>
      </c>
      <c r="K158" s="68">
        <f t="shared" si="43"/>
        <v>0</v>
      </c>
      <c r="L158" s="69"/>
      <c r="M158" s="70"/>
      <c r="N158" s="70"/>
      <c r="O158" s="70"/>
      <c r="P158" s="37">
        <f t="shared" si="44"/>
        <v>0</v>
      </c>
      <c r="Q158" s="71"/>
      <c r="R158" s="71"/>
      <c r="S158" s="71"/>
      <c r="T158" s="71"/>
      <c r="U158" s="71"/>
      <c r="V158" s="37">
        <f t="shared" si="45"/>
        <v>0</v>
      </c>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c r="AZ158" s="70"/>
      <c r="BA158" s="70"/>
      <c r="BB158" s="70"/>
      <c r="BC158" s="70"/>
      <c r="BD158" s="70"/>
      <c r="BE158" s="70"/>
      <c r="BF158" s="70"/>
      <c r="BG158" s="70"/>
      <c r="BH158" s="70"/>
      <c r="BI158" s="70"/>
      <c r="BJ158" s="70"/>
      <c r="BK158" s="70"/>
      <c r="BL158" s="70"/>
      <c r="BM158" s="70"/>
      <c r="BN158" s="70"/>
      <c r="BO158" s="70"/>
      <c r="BP158" s="70"/>
      <c r="BQ158" s="70"/>
      <c r="BR158" s="70"/>
      <c r="BS158" s="70"/>
      <c r="BT158" s="70"/>
      <c r="BU158" s="70"/>
      <c r="BV158" s="70"/>
      <c r="BW158" s="70"/>
      <c r="BX158" s="70"/>
    </row>
    <row r="159" s="23" customFormat="1" ht="20" customHeight="1" outlineLevel="1" spans="1:76">
      <c r="A159" s="112"/>
      <c r="B159" s="59" t="s">
        <v>832</v>
      </c>
      <c r="C159" s="102"/>
      <c r="D159" s="48"/>
      <c r="E159" s="103"/>
      <c r="F159" s="104"/>
      <c r="G159" s="104"/>
      <c r="H159" s="104"/>
      <c r="I159" s="54"/>
      <c r="J159" s="55"/>
      <c r="K159" s="55">
        <f>SUM(K160:K175)</f>
        <v>0</v>
      </c>
      <c r="L159" s="105"/>
      <c r="M159" s="70"/>
      <c r="N159" s="70"/>
      <c r="O159" s="70"/>
      <c r="P159" s="106"/>
      <c r="Q159" s="106"/>
      <c r="R159" s="106"/>
      <c r="S159" s="106"/>
      <c r="T159" s="106"/>
      <c r="U159" s="106"/>
      <c r="V159" s="106"/>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c r="AZ159" s="70"/>
      <c r="BA159" s="70"/>
      <c r="BB159" s="70"/>
      <c r="BC159" s="70"/>
      <c r="BD159" s="70"/>
      <c r="BE159" s="70"/>
      <c r="BF159" s="70"/>
      <c r="BG159" s="70"/>
      <c r="BH159" s="70"/>
      <c r="BI159" s="70"/>
      <c r="BJ159" s="70"/>
      <c r="BK159" s="70"/>
      <c r="BL159" s="70"/>
      <c r="BM159" s="70"/>
      <c r="BN159" s="70"/>
      <c r="BO159" s="70"/>
      <c r="BP159" s="70"/>
      <c r="BQ159" s="70"/>
      <c r="BR159" s="70"/>
      <c r="BS159" s="70"/>
      <c r="BT159" s="70"/>
      <c r="BU159" s="70"/>
      <c r="BV159" s="70"/>
      <c r="BW159" s="70"/>
      <c r="BX159" s="70"/>
    </row>
    <row r="160" s="23" customFormat="1" ht="84" customHeight="1" outlineLevel="2" spans="1:76">
      <c r="A160" s="61">
        <f t="shared" ref="A160:A175" si="46">A159+1</f>
        <v>1</v>
      </c>
      <c r="B160" s="62" t="s">
        <v>833</v>
      </c>
      <c r="C160" s="63" t="s">
        <v>834</v>
      </c>
      <c r="D160" s="64" t="s">
        <v>610</v>
      </c>
      <c r="E160" s="65">
        <v>1</v>
      </c>
      <c r="F160" s="66">
        <f t="shared" ref="F160:F174" si="47">S160*$S$1</f>
        <v>0</v>
      </c>
      <c r="G160" s="65">
        <f t="shared" ref="G160:G174" si="48">Q160*(1+R160)*$Q$1</f>
        <v>0</v>
      </c>
      <c r="H160" s="66">
        <f t="shared" ref="H160:H174" si="49">(T160+U160)*$T$1</f>
        <v>0</v>
      </c>
      <c r="I160" s="67">
        <f t="shared" ref="I160:I175" si="50">(F160+G160+H160)*$I$3</f>
        <v>0</v>
      </c>
      <c r="J160" s="67">
        <f t="shared" ref="J160:J175" si="51">F160+G160+H160+I160</f>
        <v>0</v>
      </c>
      <c r="K160" s="68">
        <f t="shared" ref="K160:K175" si="52">ROUND(E160*J160,2)</f>
        <v>0</v>
      </c>
      <c r="L160" s="69"/>
      <c r="M160" s="70"/>
      <c r="N160" s="70"/>
      <c r="O160" s="70"/>
      <c r="P160" s="37">
        <f t="shared" ref="P160:P175" si="53">Q160+Q160*R160+S160+T160+U160</f>
        <v>0</v>
      </c>
      <c r="Q160" s="71"/>
      <c r="R160" s="71"/>
      <c r="S160" s="71"/>
      <c r="T160" s="71"/>
      <c r="U160" s="71"/>
      <c r="V160" s="37">
        <f t="shared" ref="V160:V175" si="54">P160*E160</f>
        <v>0</v>
      </c>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c r="AV160" s="70"/>
      <c r="AW160" s="70"/>
      <c r="AX160" s="70"/>
      <c r="AY160" s="70"/>
      <c r="AZ160" s="70"/>
      <c r="BA160" s="70"/>
      <c r="BB160" s="70"/>
      <c r="BC160" s="70"/>
      <c r="BD160" s="70"/>
      <c r="BE160" s="70"/>
      <c r="BF160" s="70"/>
      <c r="BG160" s="70"/>
      <c r="BH160" s="70"/>
      <c r="BI160" s="70"/>
      <c r="BJ160" s="70"/>
      <c r="BK160" s="70"/>
      <c r="BL160" s="70"/>
      <c r="BM160" s="70"/>
      <c r="BN160" s="70"/>
      <c r="BO160" s="70"/>
      <c r="BP160" s="70"/>
      <c r="BQ160" s="70"/>
      <c r="BR160" s="70"/>
      <c r="BS160" s="70"/>
      <c r="BT160" s="70"/>
      <c r="BU160" s="70"/>
      <c r="BV160" s="70"/>
      <c r="BW160" s="70"/>
      <c r="BX160" s="70"/>
    </row>
    <row r="161" s="23" customFormat="1" ht="96" customHeight="1" outlineLevel="2" spans="1:76">
      <c r="A161" s="61">
        <f t="shared" si="46"/>
        <v>2</v>
      </c>
      <c r="B161" s="62" t="s">
        <v>835</v>
      </c>
      <c r="C161" s="63" t="s">
        <v>836</v>
      </c>
      <c r="D161" s="64" t="s">
        <v>610</v>
      </c>
      <c r="E161" s="65">
        <v>1</v>
      </c>
      <c r="F161" s="66">
        <f t="shared" si="47"/>
        <v>0</v>
      </c>
      <c r="G161" s="65">
        <f t="shared" si="48"/>
        <v>0</v>
      </c>
      <c r="H161" s="66">
        <f t="shared" si="49"/>
        <v>0</v>
      </c>
      <c r="I161" s="67">
        <f t="shared" si="50"/>
        <v>0</v>
      </c>
      <c r="J161" s="67">
        <f t="shared" si="51"/>
        <v>0</v>
      </c>
      <c r="K161" s="68">
        <f t="shared" si="52"/>
        <v>0</v>
      </c>
      <c r="L161" s="69"/>
      <c r="M161" s="70"/>
      <c r="N161" s="70"/>
      <c r="O161" s="70"/>
      <c r="P161" s="37">
        <f t="shared" si="53"/>
        <v>0</v>
      </c>
      <c r="Q161" s="71"/>
      <c r="R161" s="71"/>
      <c r="S161" s="71"/>
      <c r="T161" s="71"/>
      <c r="U161" s="71"/>
      <c r="V161" s="37">
        <f t="shared" si="54"/>
        <v>0</v>
      </c>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c r="AZ161" s="70"/>
      <c r="BA161" s="70"/>
      <c r="BB161" s="70"/>
      <c r="BC161" s="70"/>
      <c r="BD161" s="70"/>
      <c r="BE161" s="70"/>
      <c r="BF161" s="70"/>
      <c r="BG161" s="70"/>
      <c r="BH161" s="70"/>
      <c r="BI161" s="70"/>
      <c r="BJ161" s="70"/>
      <c r="BK161" s="70"/>
      <c r="BL161" s="70"/>
      <c r="BM161" s="70"/>
      <c r="BN161" s="70"/>
      <c r="BO161" s="70"/>
      <c r="BP161" s="70"/>
      <c r="BQ161" s="70"/>
      <c r="BR161" s="70"/>
      <c r="BS161" s="70"/>
      <c r="BT161" s="70"/>
      <c r="BU161" s="70"/>
      <c r="BV161" s="70"/>
      <c r="BW161" s="70"/>
      <c r="BX161" s="70"/>
    </row>
    <row r="162" s="23" customFormat="1" ht="96" customHeight="1" outlineLevel="2" spans="1:76">
      <c r="A162" s="61">
        <f t="shared" si="46"/>
        <v>3</v>
      </c>
      <c r="B162" s="62" t="s">
        <v>837</v>
      </c>
      <c r="C162" s="63" t="s">
        <v>838</v>
      </c>
      <c r="D162" s="64" t="s">
        <v>610</v>
      </c>
      <c r="E162" s="65">
        <v>1</v>
      </c>
      <c r="F162" s="66">
        <f t="shared" si="47"/>
        <v>0</v>
      </c>
      <c r="G162" s="65">
        <f t="shared" si="48"/>
        <v>0</v>
      </c>
      <c r="H162" s="66">
        <f t="shared" si="49"/>
        <v>0</v>
      </c>
      <c r="I162" s="67">
        <f t="shared" si="50"/>
        <v>0</v>
      </c>
      <c r="J162" s="67">
        <f t="shared" si="51"/>
        <v>0</v>
      </c>
      <c r="K162" s="68">
        <f t="shared" si="52"/>
        <v>0</v>
      </c>
      <c r="L162" s="69"/>
      <c r="M162" s="70"/>
      <c r="N162" s="70"/>
      <c r="O162" s="70"/>
      <c r="P162" s="37">
        <f t="shared" si="53"/>
        <v>0</v>
      </c>
      <c r="Q162" s="71"/>
      <c r="R162" s="71"/>
      <c r="S162" s="71"/>
      <c r="T162" s="71"/>
      <c r="U162" s="71"/>
      <c r="V162" s="37">
        <f t="shared" si="54"/>
        <v>0</v>
      </c>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c r="AZ162" s="70"/>
      <c r="BA162" s="70"/>
      <c r="BB162" s="70"/>
      <c r="BC162" s="70"/>
      <c r="BD162" s="70"/>
      <c r="BE162" s="70"/>
      <c r="BF162" s="70"/>
      <c r="BG162" s="70"/>
      <c r="BH162" s="70"/>
      <c r="BI162" s="70"/>
      <c r="BJ162" s="70"/>
      <c r="BK162" s="70"/>
      <c r="BL162" s="70"/>
      <c r="BM162" s="70"/>
      <c r="BN162" s="70"/>
      <c r="BO162" s="70"/>
      <c r="BP162" s="70"/>
      <c r="BQ162" s="70"/>
      <c r="BR162" s="70"/>
      <c r="BS162" s="70"/>
      <c r="BT162" s="70"/>
      <c r="BU162" s="70"/>
      <c r="BV162" s="70"/>
      <c r="BW162" s="70"/>
      <c r="BX162" s="70"/>
    </row>
    <row r="163" s="23" customFormat="1" ht="84" customHeight="1" outlineLevel="2" spans="1:76">
      <c r="A163" s="61">
        <f t="shared" si="46"/>
        <v>4</v>
      </c>
      <c r="B163" s="62" t="s">
        <v>839</v>
      </c>
      <c r="C163" s="63" t="s">
        <v>840</v>
      </c>
      <c r="D163" s="64" t="s">
        <v>610</v>
      </c>
      <c r="E163" s="65">
        <v>1</v>
      </c>
      <c r="F163" s="66">
        <f t="shared" si="47"/>
        <v>0</v>
      </c>
      <c r="G163" s="65">
        <f t="shared" si="48"/>
        <v>0</v>
      </c>
      <c r="H163" s="66">
        <f t="shared" si="49"/>
        <v>0</v>
      </c>
      <c r="I163" s="67">
        <f t="shared" si="50"/>
        <v>0</v>
      </c>
      <c r="J163" s="67">
        <f t="shared" si="51"/>
        <v>0</v>
      </c>
      <c r="K163" s="68">
        <f t="shared" si="52"/>
        <v>0</v>
      </c>
      <c r="L163" s="69"/>
      <c r="M163" s="70"/>
      <c r="N163" s="70"/>
      <c r="O163" s="70"/>
      <c r="P163" s="37">
        <f t="shared" si="53"/>
        <v>0</v>
      </c>
      <c r="Q163" s="71"/>
      <c r="R163" s="71"/>
      <c r="S163" s="71"/>
      <c r="T163" s="71"/>
      <c r="U163" s="71"/>
      <c r="V163" s="37">
        <f t="shared" si="54"/>
        <v>0</v>
      </c>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row>
    <row r="164" s="23" customFormat="1" ht="36" customHeight="1" outlineLevel="2" spans="1:76">
      <c r="A164" s="61">
        <f t="shared" si="46"/>
        <v>5</v>
      </c>
      <c r="B164" s="62" t="s">
        <v>841</v>
      </c>
      <c r="C164" s="63" t="s">
        <v>842</v>
      </c>
      <c r="D164" s="64" t="s">
        <v>610</v>
      </c>
      <c r="E164" s="65">
        <v>2.24</v>
      </c>
      <c r="F164" s="66">
        <f t="shared" si="47"/>
        <v>0</v>
      </c>
      <c r="G164" s="65">
        <f t="shared" si="48"/>
        <v>0</v>
      </c>
      <c r="H164" s="66">
        <f t="shared" si="49"/>
        <v>0</v>
      </c>
      <c r="I164" s="67">
        <f t="shared" si="50"/>
        <v>0</v>
      </c>
      <c r="J164" s="67">
        <f t="shared" si="51"/>
        <v>0</v>
      </c>
      <c r="K164" s="68">
        <f t="shared" si="52"/>
        <v>0</v>
      </c>
      <c r="L164" s="69"/>
      <c r="M164" s="70"/>
      <c r="N164" s="70"/>
      <c r="O164" s="70"/>
      <c r="P164" s="37">
        <f t="shared" si="53"/>
        <v>0</v>
      </c>
      <c r="Q164" s="71"/>
      <c r="R164" s="71"/>
      <c r="S164" s="71"/>
      <c r="T164" s="71"/>
      <c r="U164" s="71"/>
      <c r="V164" s="37">
        <f t="shared" si="54"/>
        <v>0</v>
      </c>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c r="AZ164" s="70"/>
      <c r="BA164" s="70"/>
      <c r="BB164" s="70"/>
      <c r="BC164" s="70"/>
      <c r="BD164" s="70"/>
      <c r="BE164" s="70"/>
      <c r="BF164" s="70"/>
      <c r="BG164" s="70"/>
      <c r="BH164" s="70"/>
      <c r="BI164" s="70"/>
      <c r="BJ164" s="70"/>
      <c r="BK164" s="70"/>
      <c r="BL164" s="70"/>
      <c r="BM164" s="70"/>
      <c r="BN164" s="70"/>
      <c r="BO164" s="70"/>
      <c r="BP164" s="70"/>
      <c r="BQ164" s="70"/>
      <c r="BR164" s="70"/>
      <c r="BS164" s="70"/>
      <c r="BT164" s="70"/>
      <c r="BU164" s="70"/>
      <c r="BV164" s="70"/>
      <c r="BW164" s="70"/>
      <c r="BX164" s="70"/>
    </row>
    <row r="165" s="23" customFormat="1" ht="36" customHeight="1" outlineLevel="2" spans="1:76">
      <c r="A165" s="61">
        <f t="shared" si="46"/>
        <v>6</v>
      </c>
      <c r="B165" s="62" t="s">
        <v>843</v>
      </c>
      <c r="C165" s="63" t="s">
        <v>844</v>
      </c>
      <c r="D165" s="64" t="s">
        <v>610</v>
      </c>
      <c r="E165" s="65">
        <v>2</v>
      </c>
      <c r="F165" s="66">
        <f t="shared" si="47"/>
        <v>0</v>
      </c>
      <c r="G165" s="65">
        <f t="shared" si="48"/>
        <v>0</v>
      </c>
      <c r="H165" s="66">
        <f t="shared" si="49"/>
        <v>0</v>
      </c>
      <c r="I165" s="67">
        <f t="shared" si="50"/>
        <v>0</v>
      </c>
      <c r="J165" s="67">
        <f t="shared" si="51"/>
        <v>0</v>
      </c>
      <c r="K165" s="68">
        <f t="shared" si="52"/>
        <v>0</v>
      </c>
      <c r="L165" s="69"/>
      <c r="M165" s="70"/>
      <c r="N165" s="70"/>
      <c r="O165" s="70"/>
      <c r="P165" s="37">
        <f t="shared" si="53"/>
        <v>0</v>
      </c>
      <c r="Q165" s="71"/>
      <c r="R165" s="71"/>
      <c r="S165" s="71"/>
      <c r="T165" s="71"/>
      <c r="U165" s="71"/>
      <c r="V165" s="37">
        <f t="shared" si="54"/>
        <v>0</v>
      </c>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c r="AV165" s="70"/>
      <c r="AW165" s="70"/>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c r="BX165" s="70"/>
    </row>
    <row r="166" s="23" customFormat="1" ht="36" customHeight="1" outlineLevel="2" spans="1:76">
      <c r="A166" s="61">
        <f t="shared" si="46"/>
        <v>7</v>
      </c>
      <c r="B166" s="62" t="s">
        <v>845</v>
      </c>
      <c r="C166" s="63" t="s">
        <v>846</v>
      </c>
      <c r="D166" s="64" t="s">
        <v>610</v>
      </c>
      <c r="E166" s="65">
        <v>1</v>
      </c>
      <c r="F166" s="66">
        <f t="shared" si="47"/>
        <v>0</v>
      </c>
      <c r="G166" s="65">
        <f t="shared" si="48"/>
        <v>0</v>
      </c>
      <c r="H166" s="66">
        <f t="shared" si="49"/>
        <v>0</v>
      </c>
      <c r="I166" s="67">
        <f t="shared" si="50"/>
        <v>0</v>
      </c>
      <c r="J166" s="67">
        <f t="shared" si="51"/>
        <v>0</v>
      </c>
      <c r="K166" s="68">
        <f t="shared" si="52"/>
        <v>0</v>
      </c>
      <c r="L166" s="69"/>
      <c r="M166" s="70"/>
      <c r="N166" s="70"/>
      <c r="O166" s="70"/>
      <c r="P166" s="37">
        <f t="shared" si="53"/>
        <v>0</v>
      </c>
      <c r="Q166" s="71"/>
      <c r="R166" s="71"/>
      <c r="S166" s="71"/>
      <c r="T166" s="71"/>
      <c r="U166" s="71"/>
      <c r="V166" s="37">
        <f t="shared" si="54"/>
        <v>0</v>
      </c>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c r="AV166" s="70"/>
      <c r="AW166" s="70"/>
      <c r="AX166" s="70"/>
      <c r="AY166" s="70"/>
      <c r="AZ166" s="70"/>
      <c r="BA166" s="70"/>
      <c r="BB166" s="70"/>
      <c r="BC166" s="70"/>
      <c r="BD166" s="70"/>
      <c r="BE166" s="70"/>
      <c r="BF166" s="70"/>
      <c r="BG166" s="70"/>
      <c r="BH166" s="70"/>
      <c r="BI166" s="70"/>
      <c r="BJ166" s="70"/>
      <c r="BK166" s="70"/>
      <c r="BL166" s="70"/>
      <c r="BM166" s="70"/>
      <c r="BN166" s="70"/>
      <c r="BO166" s="70"/>
      <c r="BP166" s="70"/>
      <c r="BQ166" s="70"/>
      <c r="BR166" s="70"/>
      <c r="BS166" s="70"/>
      <c r="BT166" s="70"/>
      <c r="BU166" s="70"/>
      <c r="BV166" s="70"/>
      <c r="BW166" s="70"/>
      <c r="BX166" s="70"/>
    </row>
    <row r="167" s="23" customFormat="1" ht="36" customHeight="1" outlineLevel="2" spans="1:76">
      <c r="A167" s="61">
        <f t="shared" si="46"/>
        <v>8</v>
      </c>
      <c r="B167" s="62" t="s">
        <v>845</v>
      </c>
      <c r="C167" s="63" t="s">
        <v>847</v>
      </c>
      <c r="D167" s="64" t="s">
        <v>610</v>
      </c>
      <c r="E167" s="65">
        <v>1</v>
      </c>
      <c r="F167" s="66">
        <f t="shared" si="47"/>
        <v>0</v>
      </c>
      <c r="G167" s="65">
        <f t="shared" si="48"/>
        <v>0</v>
      </c>
      <c r="H167" s="66">
        <f t="shared" si="49"/>
        <v>0</v>
      </c>
      <c r="I167" s="67">
        <f t="shared" si="50"/>
        <v>0</v>
      </c>
      <c r="J167" s="67">
        <f t="shared" si="51"/>
        <v>0</v>
      </c>
      <c r="K167" s="68">
        <f t="shared" si="52"/>
        <v>0</v>
      </c>
      <c r="L167" s="69"/>
      <c r="M167" s="70"/>
      <c r="N167" s="70"/>
      <c r="O167" s="70"/>
      <c r="P167" s="37">
        <f t="shared" si="53"/>
        <v>0</v>
      </c>
      <c r="Q167" s="71"/>
      <c r="R167" s="71"/>
      <c r="S167" s="71"/>
      <c r="T167" s="71"/>
      <c r="U167" s="71"/>
      <c r="V167" s="37">
        <f t="shared" si="54"/>
        <v>0</v>
      </c>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row>
    <row r="168" s="23" customFormat="1" ht="36" customHeight="1" outlineLevel="2" spans="1:76">
      <c r="A168" s="61">
        <f t="shared" si="46"/>
        <v>9</v>
      </c>
      <c r="B168" s="62" t="s">
        <v>845</v>
      </c>
      <c r="C168" s="63" t="s">
        <v>848</v>
      </c>
      <c r="D168" s="64" t="s">
        <v>610</v>
      </c>
      <c r="E168" s="65">
        <v>1</v>
      </c>
      <c r="F168" s="66">
        <f t="shared" si="47"/>
        <v>0</v>
      </c>
      <c r="G168" s="65">
        <f t="shared" si="48"/>
        <v>0</v>
      </c>
      <c r="H168" s="66">
        <f t="shared" si="49"/>
        <v>0</v>
      </c>
      <c r="I168" s="67">
        <f t="shared" si="50"/>
        <v>0</v>
      </c>
      <c r="J168" s="67">
        <f t="shared" si="51"/>
        <v>0</v>
      </c>
      <c r="K168" s="68">
        <f t="shared" si="52"/>
        <v>0</v>
      </c>
      <c r="L168" s="69"/>
      <c r="M168" s="70"/>
      <c r="N168" s="70"/>
      <c r="O168" s="70"/>
      <c r="P168" s="37">
        <f t="shared" si="53"/>
        <v>0</v>
      </c>
      <c r="Q168" s="71"/>
      <c r="R168" s="71"/>
      <c r="S168" s="71"/>
      <c r="T168" s="71"/>
      <c r="U168" s="71"/>
      <c r="V168" s="37">
        <f t="shared" si="54"/>
        <v>0</v>
      </c>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c r="AU168" s="70"/>
      <c r="AV168" s="70"/>
      <c r="AW168" s="70"/>
      <c r="AX168" s="70"/>
      <c r="AY168" s="70"/>
      <c r="AZ168" s="70"/>
      <c r="BA168" s="70"/>
      <c r="BB168" s="70"/>
      <c r="BC168" s="70"/>
      <c r="BD168" s="70"/>
      <c r="BE168" s="70"/>
      <c r="BF168" s="70"/>
      <c r="BG168" s="70"/>
      <c r="BH168" s="70"/>
      <c r="BI168" s="70"/>
      <c r="BJ168" s="70"/>
      <c r="BK168" s="70"/>
      <c r="BL168" s="70"/>
      <c r="BM168" s="70"/>
      <c r="BN168" s="70"/>
      <c r="BO168" s="70"/>
      <c r="BP168" s="70"/>
      <c r="BQ168" s="70"/>
      <c r="BR168" s="70"/>
      <c r="BS168" s="70"/>
      <c r="BT168" s="70"/>
      <c r="BU168" s="70"/>
      <c r="BV168" s="70"/>
      <c r="BW168" s="70"/>
      <c r="BX168" s="70"/>
    </row>
    <row r="169" s="23" customFormat="1" ht="36" customHeight="1" outlineLevel="2" spans="1:76">
      <c r="A169" s="61">
        <f t="shared" si="46"/>
        <v>10</v>
      </c>
      <c r="B169" s="62" t="s">
        <v>849</v>
      </c>
      <c r="C169" s="63" t="s">
        <v>850</v>
      </c>
      <c r="D169" s="64" t="s">
        <v>610</v>
      </c>
      <c r="E169" s="65">
        <v>1</v>
      </c>
      <c r="F169" s="66">
        <f t="shared" si="47"/>
        <v>0</v>
      </c>
      <c r="G169" s="65">
        <f t="shared" si="48"/>
        <v>0</v>
      </c>
      <c r="H169" s="66">
        <f t="shared" si="49"/>
        <v>0</v>
      </c>
      <c r="I169" s="67">
        <f t="shared" si="50"/>
        <v>0</v>
      </c>
      <c r="J169" s="67">
        <f t="shared" si="51"/>
        <v>0</v>
      </c>
      <c r="K169" s="68">
        <f t="shared" si="52"/>
        <v>0</v>
      </c>
      <c r="L169" s="69"/>
      <c r="M169" s="70"/>
      <c r="N169" s="70"/>
      <c r="O169" s="70"/>
      <c r="P169" s="37">
        <f t="shared" si="53"/>
        <v>0</v>
      </c>
      <c r="Q169" s="71"/>
      <c r="R169" s="71"/>
      <c r="S169" s="71"/>
      <c r="T169" s="71"/>
      <c r="U169" s="71"/>
      <c r="V169" s="37">
        <f t="shared" si="54"/>
        <v>0</v>
      </c>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c r="AV169" s="70"/>
      <c r="AW169" s="70"/>
      <c r="AX169" s="70"/>
      <c r="AY169" s="70"/>
      <c r="AZ169" s="70"/>
      <c r="BA169" s="70"/>
      <c r="BB169" s="70"/>
      <c r="BC169" s="70"/>
      <c r="BD169" s="70"/>
      <c r="BE169" s="70"/>
      <c r="BF169" s="70"/>
      <c r="BG169" s="70"/>
      <c r="BH169" s="70"/>
      <c r="BI169" s="70"/>
      <c r="BJ169" s="70"/>
      <c r="BK169" s="70"/>
      <c r="BL169" s="70"/>
      <c r="BM169" s="70"/>
      <c r="BN169" s="70"/>
      <c r="BO169" s="70"/>
      <c r="BP169" s="70"/>
      <c r="BQ169" s="70"/>
      <c r="BR169" s="70"/>
      <c r="BS169" s="70"/>
      <c r="BT169" s="70"/>
      <c r="BU169" s="70"/>
      <c r="BV169" s="70"/>
      <c r="BW169" s="70"/>
      <c r="BX169" s="70"/>
    </row>
    <row r="170" s="23" customFormat="1" ht="36" customHeight="1" outlineLevel="2" spans="1:76">
      <c r="A170" s="61">
        <f t="shared" si="46"/>
        <v>11</v>
      </c>
      <c r="B170" s="62" t="s">
        <v>851</v>
      </c>
      <c r="C170" s="63" t="s">
        <v>852</v>
      </c>
      <c r="D170" s="64" t="s">
        <v>610</v>
      </c>
      <c r="E170" s="65">
        <v>1</v>
      </c>
      <c r="F170" s="66">
        <f t="shared" si="47"/>
        <v>0</v>
      </c>
      <c r="G170" s="65">
        <f t="shared" si="48"/>
        <v>0</v>
      </c>
      <c r="H170" s="66">
        <f t="shared" si="49"/>
        <v>0</v>
      </c>
      <c r="I170" s="67">
        <f t="shared" si="50"/>
        <v>0</v>
      </c>
      <c r="J170" s="67">
        <f t="shared" si="51"/>
        <v>0</v>
      </c>
      <c r="K170" s="68">
        <f t="shared" si="52"/>
        <v>0</v>
      </c>
      <c r="L170" s="69"/>
      <c r="M170" s="70"/>
      <c r="N170" s="70"/>
      <c r="O170" s="70"/>
      <c r="P170" s="37">
        <f t="shared" si="53"/>
        <v>0</v>
      </c>
      <c r="Q170" s="71"/>
      <c r="R170" s="71"/>
      <c r="S170" s="71"/>
      <c r="T170" s="71"/>
      <c r="U170" s="71"/>
      <c r="V170" s="37">
        <f t="shared" si="54"/>
        <v>0</v>
      </c>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c r="AU170" s="70"/>
      <c r="AV170" s="70"/>
      <c r="AW170" s="70"/>
      <c r="AX170" s="70"/>
      <c r="AY170" s="70"/>
      <c r="AZ170" s="70"/>
      <c r="BA170" s="70"/>
      <c r="BB170" s="70"/>
      <c r="BC170" s="70"/>
      <c r="BD170" s="70"/>
      <c r="BE170" s="70"/>
      <c r="BF170" s="70"/>
      <c r="BG170" s="70"/>
      <c r="BH170" s="70"/>
      <c r="BI170" s="70"/>
      <c r="BJ170" s="70"/>
      <c r="BK170" s="70"/>
      <c r="BL170" s="70"/>
      <c r="BM170" s="70"/>
      <c r="BN170" s="70"/>
      <c r="BO170" s="70"/>
      <c r="BP170" s="70"/>
      <c r="BQ170" s="70"/>
      <c r="BR170" s="70"/>
      <c r="BS170" s="70"/>
      <c r="BT170" s="70"/>
      <c r="BU170" s="70"/>
      <c r="BV170" s="70"/>
      <c r="BW170" s="70"/>
      <c r="BX170" s="70"/>
    </row>
    <row r="171" s="23" customFormat="1" ht="156" customHeight="1" outlineLevel="2" spans="1:76">
      <c r="A171" s="61">
        <f t="shared" si="46"/>
        <v>12</v>
      </c>
      <c r="B171" s="62" t="s">
        <v>853</v>
      </c>
      <c r="C171" s="63" t="s">
        <v>854</v>
      </c>
      <c r="D171" s="64" t="s">
        <v>828</v>
      </c>
      <c r="E171" s="65">
        <v>186.656</v>
      </c>
      <c r="F171" s="66">
        <f t="shared" si="47"/>
        <v>0</v>
      </c>
      <c r="G171" s="65">
        <f t="shared" si="48"/>
        <v>0</v>
      </c>
      <c r="H171" s="66">
        <f t="shared" si="49"/>
        <v>0</v>
      </c>
      <c r="I171" s="67">
        <f t="shared" si="50"/>
        <v>0</v>
      </c>
      <c r="J171" s="67">
        <f t="shared" si="51"/>
        <v>0</v>
      </c>
      <c r="K171" s="68">
        <f t="shared" si="52"/>
        <v>0</v>
      </c>
      <c r="L171" s="69"/>
      <c r="M171" s="70"/>
      <c r="N171" s="70"/>
      <c r="O171" s="70"/>
      <c r="P171" s="37">
        <f t="shared" si="53"/>
        <v>0</v>
      </c>
      <c r="Q171" s="71"/>
      <c r="R171" s="71"/>
      <c r="S171" s="71"/>
      <c r="T171" s="71"/>
      <c r="U171" s="71"/>
      <c r="V171" s="37">
        <f t="shared" si="54"/>
        <v>0</v>
      </c>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c r="BQ171" s="70"/>
      <c r="BR171" s="70"/>
      <c r="BS171" s="70"/>
      <c r="BT171" s="70"/>
      <c r="BU171" s="70"/>
      <c r="BV171" s="70"/>
      <c r="BW171" s="70"/>
      <c r="BX171" s="70"/>
    </row>
    <row r="172" s="23" customFormat="1" ht="156" customHeight="1" outlineLevel="2" spans="1:76">
      <c r="A172" s="61">
        <f t="shared" si="46"/>
        <v>13</v>
      </c>
      <c r="B172" s="62" t="s">
        <v>853</v>
      </c>
      <c r="C172" s="63" t="s">
        <v>855</v>
      </c>
      <c r="D172" s="64" t="s">
        <v>828</v>
      </c>
      <c r="E172" s="65">
        <v>22.301</v>
      </c>
      <c r="F172" s="66">
        <f t="shared" si="47"/>
        <v>0</v>
      </c>
      <c r="G172" s="65">
        <f t="shared" si="48"/>
        <v>0</v>
      </c>
      <c r="H172" s="66">
        <f t="shared" si="49"/>
        <v>0</v>
      </c>
      <c r="I172" s="67">
        <f t="shared" si="50"/>
        <v>0</v>
      </c>
      <c r="J172" s="67">
        <f t="shared" si="51"/>
        <v>0</v>
      </c>
      <c r="K172" s="68">
        <f t="shared" si="52"/>
        <v>0</v>
      </c>
      <c r="L172" s="69"/>
      <c r="M172" s="70"/>
      <c r="N172" s="70"/>
      <c r="O172" s="70"/>
      <c r="P172" s="37">
        <f t="shared" si="53"/>
        <v>0</v>
      </c>
      <c r="Q172" s="71"/>
      <c r="R172" s="71"/>
      <c r="S172" s="71"/>
      <c r="T172" s="71"/>
      <c r="U172" s="71"/>
      <c r="V172" s="37">
        <f t="shared" si="54"/>
        <v>0</v>
      </c>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c r="BQ172" s="70"/>
      <c r="BR172" s="70"/>
      <c r="BS172" s="70"/>
      <c r="BT172" s="70"/>
      <c r="BU172" s="70"/>
      <c r="BV172" s="70"/>
      <c r="BW172" s="70"/>
      <c r="BX172" s="70"/>
    </row>
    <row r="173" s="23" customFormat="1" ht="156" customHeight="1" outlineLevel="2" spans="1:76">
      <c r="A173" s="61">
        <f t="shared" si="46"/>
        <v>14</v>
      </c>
      <c r="B173" s="62" t="s">
        <v>853</v>
      </c>
      <c r="C173" s="63" t="s">
        <v>830</v>
      </c>
      <c r="D173" s="64" t="s">
        <v>828</v>
      </c>
      <c r="E173" s="65">
        <v>9.919</v>
      </c>
      <c r="F173" s="66">
        <f t="shared" si="47"/>
        <v>0</v>
      </c>
      <c r="G173" s="65">
        <f t="shared" si="48"/>
        <v>0</v>
      </c>
      <c r="H173" s="66">
        <f t="shared" si="49"/>
        <v>0</v>
      </c>
      <c r="I173" s="67">
        <f t="shared" si="50"/>
        <v>0</v>
      </c>
      <c r="J173" s="67">
        <f t="shared" si="51"/>
        <v>0</v>
      </c>
      <c r="K173" s="68">
        <f t="shared" si="52"/>
        <v>0</v>
      </c>
      <c r="L173" s="69"/>
      <c r="M173" s="70"/>
      <c r="N173" s="70"/>
      <c r="O173" s="70"/>
      <c r="P173" s="37">
        <f t="shared" si="53"/>
        <v>0</v>
      </c>
      <c r="Q173" s="71"/>
      <c r="R173" s="71"/>
      <c r="S173" s="71"/>
      <c r="T173" s="71"/>
      <c r="U173" s="71"/>
      <c r="V173" s="37">
        <f t="shared" si="54"/>
        <v>0</v>
      </c>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c r="AU173" s="70"/>
      <c r="AV173" s="70"/>
      <c r="AW173" s="70"/>
      <c r="AX173" s="70"/>
      <c r="AY173" s="70"/>
      <c r="AZ173" s="70"/>
      <c r="BA173" s="70"/>
      <c r="BB173" s="70"/>
      <c r="BC173" s="70"/>
      <c r="BD173" s="70"/>
      <c r="BE173" s="70"/>
      <c r="BF173" s="70"/>
      <c r="BG173" s="70"/>
      <c r="BH173" s="70"/>
      <c r="BI173" s="70"/>
      <c r="BJ173" s="70"/>
      <c r="BK173" s="70"/>
      <c r="BL173" s="70"/>
      <c r="BM173" s="70"/>
      <c r="BN173" s="70"/>
      <c r="BO173" s="70"/>
      <c r="BP173" s="70"/>
      <c r="BQ173" s="70"/>
      <c r="BR173" s="70"/>
      <c r="BS173" s="70"/>
      <c r="BT173" s="70"/>
      <c r="BU173" s="70"/>
      <c r="BV173" s="70"/>
      <c r="BW173" s="70"/>
      <c r="BX173" s="70"/>
    </row>
    <row r="174" s="23" customFormat="1" ht="156" customHeight="1" outlineLevel="2" spans="1:76">
      <c r="A174" s="61">
        <f t="shared" si="46"/>
        <v>15</v>
      </c>
      <c r="B174" s="62" t="s">
        <v>853</v>
      </c>
      <c r="C174" s="63" t="s">
        <v>831</v>
      </c>
      <c r="D174" s="64" t="s">
        <v>828</v>
      </c>
      <c r="E174" s="65">
        <v>7.461</v>
      </c>
      <c r="F174" s="66">
        <f t="shared" si="47"/>
        <v>0</v>
      </c>
      <c r="G174" s="65">
        <f t="shared" si="48"/>
        <v>0</v>
      </c>
      <c r="H174" s="66">
        <f t="shared" si="49"/>
        <v>0</v>
      </c>
      <c r="I174" s="67">
        <f t="shared" si="50"/>
        <v>0</v>
      </c>
      <c r="J174" s="67">
        <f t="shared" si="51"/>
        <v>0</v>
      </c>
      <c r="K174" s="68">
        <f t="shared" si="52"/>
        <v>0</v>
      </c>
      <c r="L174" s="69"/>
      <c r="M174" s="70"/>
      <c r="N174" s="70"/>
      <c r="O174" s="70"/>
      <c r="P174" s="37">
        <f t="shared" si="53"/>
        <v>0</v>
      </c>
      <c r="Q174" s="71"/>
      <c r="R174" s="71"/>
      <c r="S174" s="71"/>
      <c r="T174" s="71"/>
      <c r="U174" s="71"/>
      <c r="V174" s="37">
        <f t="shared" si="54"/>
        <v>0</v>
      </c>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row>
    <row r="175" s="23" customFormat="1" ht="36" customHeight="1" outlineLevel="2" spans="1:76">
      <c r="A175" s="93">
        <f t="shared" si="46"/>
        <v>16</v>
      </c>
      <c r="B175" s="94" t="s">
        <v>826</v>
      </c>
      <c r="C175" s="95" t="s">
        <v>827</v>
      </c>
      <c r="D175" s="50" t="s">
        <v>828</v>
      </c>
      <c r="E175" s="51">
        <v>2.366</v>
      </c>
      <c r="F175" s="96">
        <f>$F$156</f>
        <v>0</v>
      </c>
      <c r="G175" s="51">
        <f>$G$156</f>
        <v>0</v>
      </c>
      <c r="H175" s="96">
        <f>$H$156</f>
        <v>0</v>
      </c>
      <c r="I175" s="54">
        <f t="shared" si="50"/>
        <v>0</v>
      </c>
      <c r="J175" s="54">
        <f t="shared" si="51"/>
        <v>0</v>
      </c>
      <c r="K175" s="97">
        <f t="shared" si="52"/>
        <v>0</v>
      </c>
      <c r="L175" s="105"/>
      <c r="M175" s="70"/>
      <c r="N175" s="70"/>
      <c r="O175" s="70"/>
      <c r="P175" s="37">
        <f t="shared" si="53"/>
        <v>0</v>
      </c>
      <c r="Q175" s="99"/>
      <c r="R175" s="99"/>
      <c r="S175" s="99"/>
      <c r="T175" s="99"/>
      <c r="U175" s="99"/>
      <c r="V175" s="37">
        <f t="shared" si="54"/>
        <v>0</v>
      </c>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row>
    <row r="176" s="23" customFormat="1" ht="20" customHeight="1" outlineLevel="1" spans="1:76">
      <c r="A176" s="112"/>
      <c r="B176" s="59" t="s">
        <v>856</v>
      </c>
      <c r="C176" s="102"/>
      <c r="D176" s="48"/>
      <c r="E176" s="103"/>
      <c r="F176" s="104"/>
      <c r="G176" s="104"/>
      <c r="H176" s="104"/>
      <c r="I176" s="54"/>
      <c r="J176" s="55"/>
      <c r="K176" s="55">
        <f>SUM(K177:K195)</f>
        <v>0</v>
      </c>
      <c r="L176" s="105"/>
      <c r="M176" s="70"/>
      <c r="N176" s="70"/>
      <c r="O176" s="70"/>
      <c r="P176" s="106"/>
      <c r="Q176" s="106"/>
      <c r="R176" s="106"/>
      <c r="S176" s="106"/>
      <c r="T176" s="106"/>
      <c r="U176" s="106"/>
      <c r="V176" s="106"/>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row>
    <row r="177" s="23" customFormat="1" ht="60" customHeight="1" outlineLevel="2" spans="1:76">
      <c r="A177" s="61">
        <f t="shared" ref="A177:A195" si="55">A176+1</f>
        <v>1</v>
      </c>
      <c r="B177" s="62" t="s">
        <v>857</v>
      </c>
      <c r="C177" s="63" t="s">
        <v>858</v>
      </c>
      <c r="D177" s="64" t="s">
        <v>610</v>
      </c>
      <c r="E177" s="65">
        <v>2</v>
      </c>
      <c r="F177" s="66">
        <f t="shared" ref="F177:F194" si="56">S177*$S$1</f>
        <v>0</v>
      </c>
      <c r="G177" s="65">
        <f t="shared" ref="G177:G194" si="57">Q177*(1+R177)*$Q$1</f>
        <v>0</v>
      </c>
      <c r="H177" s="66">
        <f t="shared" ref="H177:H194" si="58">(T177+U177)*$T$1</f>
        <v>0</v>
      </c>
      <c r="I177" s="67">
        <f t="shared" ref="I177:I195" si="59">(F177+G177+H177)*$I$3</f>
        <v>0</v>
      </c>
      <c r="J177" s="67">
        <f t="shared" ref="J177:J195" si="60">F177+G177+H177+I177</f>
        <v>0</v>
      </c>
      <c r="K177" s="68">
        <f t="shared" ref="K177:K195" si="61">ROUND(E177*J177,2)</f>
        <v>0</v>
      </c>
      <c r="L177" s="69"/>
      <c r="M177" s="70"/>
      <c r="N177" s="70"/>
      <c r="O177" s="70"/>
      <c r="P177" s="37">
        <f t="shared" ref="P177:P195" si="62">Q177+Q177*R177+S177+T177+U177</f>
        <v>0</v>
      </c>
      <c r="Q177" s="71"/>
      <c r="R177" s="71"/>
      <c r="S177" s="71"/>
      <c r="T177" s="71"/>
      <c r="U177" s="71"/>
      <c r="V177" s="37">
        <f t="shared" ref="V177:V195" si="63">P177*E177</f>
        <v>0</v>
      </c>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row>
    <row r="178" s="23" customFormat="1" ht="60" customHeight="1" outlineLevel="2" spans="1:76">
      <c r="A178" s="61">
        <f t="shared" si="55"/>
        <v>2</v>
      </c>
      <c r="B178" s="62" t="s">
        <v>859</v>
      </c>
      <c r="C178" s="63" t="s">
        <v>860</v>
      </c>
      <c r="D178" s="64" t="s">
        <v>610</v>
      </c>
      <c r="E178" s="65">
        <v>3</v>
      </c>
      <c r="F178" s="66">
        <f t="shared" si="56"/>
        <v>0</v>
      </c>
      <c r="G178" s="65">
        <f t="shared" si="57"/>
        <v>0</v>
      </c>
      <c r="H178" s="66">
        <f t="shared" si="58"/>
        <v>0</v>
      </c>
      <c r="I178" s="67">
        <f t="shared" si="59"/>
        <v>0</v>
      </c>
      <c r="J178" s="67">
        <f t="shared" si="60"/>
        <v>0</v>
      </c>
      <c r="K178" s="68">
        <f t="shared" si="61"/>
        <v>0</v>
      </c>
      <c r="L178" s="69"/>
      <c r="M178" s="70"/>
      <c r="N178" s="70"/>
      <c r="O178" s="70"/>
      <c r="P178" s="37">
        <f t="shared" si="62"/>
        <v>0</v>
      </c>
      <c r="Q178" s="71"/>
      <c r="R178" s="71"/>
      <c r="S178" s="71"/>
      <c r="T178" s="71"/>
      <c r="U178" s="71"/>
      <c r="V178" s="37">
        <f t="shared" si="63"/>
        <v>0</v>
      </c>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row>
    <row r="179" s="23" customFormat="1" ht="84" customHeight="1" outlineLevel="2" spans="1:76">
      <c r="A179" s="61">
        <f t="shared" si="55"/>
        <v>3</v>
      </c>
      <c r="B179" s="62" t="s">
        <v>861</v>
      </c>
      <c r="C179" s="63" t="s">
        <v>862</v>
      </c>
      <c r="D179" s="64" t="s">
        <v>610</v>
      </c>
      <c r="E179" s="65">
        <v>1</v>
      </c>
      <c r="F179" s="66">
        <f t="shared" si="56"/>
        <v>0</v>
      </c>
      <c r="G179" s="65">
        <f t="shared" si="57"/>
        <v>0</v>
      </c>
      <c r="H179" s="66">
        <f t="shared" si="58"/>
        <v>0</v>
      </c>
      <c r="I179" s="67">
        <f t="shared" si="59"/>
        <v>0</v>
      </c>
      <c r="J179" s="67">
        <f t="shared" si="60"/>
        <v>0</v>
      </c>
      <c r="K179" s="68">
        <f t="shared" si="61"/>
        <v>0</v>
      </c>
      <c r="L179" s="69"/>
      <c r="M179" s="70"/>
      <c r="N179" s="70"/>
      <c r="O179" s="70"/>
      <c r="P179" s="37">
        <f t="shared" si="62"/>
        <v>0</v>
      </c>
      <c r="Q179" s="71"/>
      <c r="R179" s="71"/>
      <c r="S179" s="71"/>
      <c r="T179" s="71"/>
      <c r="U179" s="71"/>
      <c r="V179" s="37">
        <f t="shared" si="63"/>
        <v>0</v>
      </c>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row>
    <row r="180" s="23" customFormat="1" ht="60" customHeight="1" outlineLevel="2" spans="1:76">
      <c r="A180" s="61">
        <f t="shared" si="55"/>
        <v>4</v>
      </c>
      <c r="B180" s="62" t="s">
        <v>863</v>
      </c>
      <c r="C180" s="63" t="s">
        <v>864</v>
      </c>
      <c r="D180" s="64" t="s">
        <v>610</v>
      </c>
      <c r="E180" s="65">
        <v>1</v>
      </c>
      <c r="F180" s="66">
        <f t="shared" si="56"/>
        <v>0</v>
      </c>
      <c r="G180" s="65">
        <f t="shared" si="57"/>
        <v>0</v>
      </c>
      <c r="H180" s="66">
        <f t="shared" si="58"/>
        <v>0</v>
      </c>
      <c r="I180" s="67">
        <f t="shared" si="59"/>
        <v>0</v>
      </c>
      <c r="J180" s="67">
        <f t="shared" si="60"/>
        <v>0</v>
      </c>
      <c r="K180" s="68">
        <f t="shared" si="61"/>
        <v>0</v>
      </c>
      <c r="L180" s="69"/>
      <c r="M180" s="70"/>
      <c r="N180" s="70"/>
      <c r="O180" s="70"/>
      <c r="P180" s="37">
        <f t="shared" si="62"/>
        <v>0</v>
      </c>
      <c r="Q180" s="71"/>
      <c r="R180" s="71"/>
      <c r="S180" s="71"/>
      <c r="T180" s="71"/>
      <c r="U180" s="71"/>
      <c r="V180" s="37">
        <f t="shared" si="63"/>
        <v>0</v>
      </c>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row>
    <row r="181" s="23" customFormat="1" ht="60" customHeight="1" outlineLevel="2" spans="1:76">
      <c r="A181" s="61">
        <f t="shared" si="55"/>
        <v>5</v>
      </c>
      <c r="B181" s="62" t="s">
        <v>865</v>
      </c>
      <c r="C181" s="63" t="s">
        <v>866</v>
      </c>
      <c r="D181" s="64" t="s">
        <v>610</v>
      </c>
      <c r="E181" s="65">
        <v>2</v>
      </c>
      <c r="F181" s="66">
        <f t="shared" si="56"/>
        <v>0</v>
      </c>
      <c r="G181" s="65">
        <f t="shared" si="57"/>
        <v>0</v>
      </c>
      <c r="H181" s="66">
        <f t="shared" si="58"/>
        <v>0</v>
      </c>
      <c r="I181" s="67">
        <f t="shared" si="59"/>
        <v>0</v>
      </c>
      <c r="J181" s="67">
        <f t="shared" si="60"/>
        <v>0</v>
      </c>
      <c r="K181" s="68">
        <f t="shared" si="61"/>
        <v>0</v>
      </c>
      <c r="L181" s="69"/>
      <c r="M181" s="70"/>
      <c r="N181" s="70"/>
      <c r="O181" s="70"/>
      <c r="P181" s="37">
        <f t="shared" si="62"/>
        <v>0</v>
      </c>
      <c r="Q181" s="71"/>
      <c r="R181" s="71"/>
      <c r="S181" s="71"/>
      <c r="T181" s="71"/>
      <c r="U181" s="71"/>
      <c r="V181" s="37">
        <f t="shared" si="63"/>
        <v>0</v>
      </c>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row>
    <row r="182" s="23" customFormat="1" ht="60" customHeight="1" outlineLevel="2" spans="1:76">
      <c r="A182" s="61">
        <f t="shared" si="55"/>
        <v>6</v>
      </c>
      <c r="B182" s="62" t="s">
        <v>867</v>
      </c>
      <c r="C182" s="63" t="s">
        <v>868</v>
      </c>
      <c r="D182" s="64" t="s">
        <v>610</v>
      </c>
      <c r="E182" s="65">
        <v>2</v>
      </c>
      <c r="F182" s="66">
        <f t="shared" si="56"/>
        <v>0</v>
      </c>
      <c r="G182" s="65">
        <f t="shared" si="57"/>
        <v>0</v>
      </c>
      <c r="H182" s="66">
        <f t="shared" si="58"/>
        <v>0</v>
      </c>
      <c r="I182" s="67">
        <f t="shared" si="59"/>
        <v>0</v>
      </c>
      <c r="J182" s="67">
        <f t="shared" si="60"/>
        <v>0</v>
      </c>
      <c r="K182" s="68">
        <f t="shared" si="61"/>
        <v>0</v>
      </c>
      <c r="L182" s="69"/>
      <c r="M182" s="70"/>
      <c r="N182" s="70"/>
      <c r="O182" s="70"/>
      <c r="P182" s="37">
        <f t="shared" si="62"/>
        <v>0</v>
      </c>
      <c r="Q182" s="71"/>
      <c r="R182" s="71"/>
      <c r="S182" s="71"/>
      <c r="T182" s="71"/>
      <c r="U182" s="71"/>
      <c r="V182" s="37">
        <f t="shared" si="63"/>
        <v>0</v>
      </c>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row>
    <row r="183" s="23" customFormat="1" ht="36" customHeight="1" outlineLevel="2" spans="1:76">
      <c r="A183" s="61">
        <f t="shared" si="55"/>
        <v>7</v>
      </c>
      <c r="B183" s="62" t="s">
        <v>869</v>
      </c>
      <c r="C183" s="63" t="s">
        <v>870</v>
      </c>
      <c r="D183" s="64" t="s">
        <v>610</v>
      </c>
      <c r="E183" s="65">
        <v>5.64</v>
      </c>
      <c r="F183" s="66">
        <f t="shared" si="56"/>
        <v>0</v>
      </c>
      <c r="G183" s="65">
        <f t="shared" si="57"/>
        <v>0</v>
      </c>
      <c r="H183" s="66">
        <f t="shared" si="58"/>
        <v>0</v>
      </c>
      <c r="I183" s="67">
        <f t="shared" si="59"/>
        <v>0</v>
      </c>
      <c r="J183" s="67">
        <f t="shared" si="60"/>
        <v>0</v>
      </c>
      <c r="K183" s="68">
        <f t="shared" si="61"/>
        <v>0</v>
      </c>
      <c r="L183" s="69"/>
      <c r="M183" s="70"/>
      <c r="N183" s="70"/>
      <c r="O183" s="70"/>
      <c r="P183" s="37">
        <f t="shared" si="62"/>
        <v>0</v>
      </c>
      <c r="Q183" s="71"/>
      <c r="R183" s="71"/>
      <c r="S183" s="71"/>
      <c r="T183" s="71"/>
      <c r="U183" s="71"/>
      <c r="V183" s="37">
        <f t="shared" si="63"/>
        <v>0</v>
      </c>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row>
    <row r="184" s="23" customFormat="1" ht="36" customHeight="1" outlineLevel="2" spans="1:76">
      <c r="A184" s="61">
        <f t="shared" si="55"/>
        <v>8</v>
      </c>
      <c r="B184" s="62" t="s">
        <v>871</v>
      </c>
      <c r="C184" s="63" t="s">
        <v>872</v>
      </c>
      <c r="D184" s="64" t="s">
        <v>610</v>
      </c>
      <c r="E184" s="65">
        <v>1</v>
      </c>
      <c r="F184" s="66">
        <f t="shared" si="56"/>
        <v>0</v>
      </c>
      <c r="G184" s="65">
        <f t="shared" si="57"/>
        <v>0</v>
      </c>
      <c r="H184" s="66">
        <f t="shared" si="58"/>
        <v>0</v>
      </c>
      <c r="I184" s="67">
        <f t="shared" si="59"/>
        <v>0</v>
      </c>
      <c r="J184" s="67">
        <f t="shared" si="60"/>
        <v>0</v>
      </c>
      <c r="K184" s="68">
        <f t="shared" si="61"/>
        <v>0</v>
      </c>
      <c r="L184" s="69"/>
      <c r="M184" s="70"/>
      <c r="N184" s="70"/>
      <c r="O184" s="70"/>
      <c r="P184" s="37">
        <f t="shared" si="62"/>
        <v>0</v>
      </c>
      <c r="Q184" s="71"/>
      <c r="R184" s="71"/>
      <c r="S184" s="71"/>
      <c r="T184" s="71"/>
      <c r="U184" s="71"/>
      <c r="V184" s="37">
        <f t="shared" si="63"/>
        <v>0</v>
      </c>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row>
    <row r="185" s="23" customFormat="1" ht="36" customHeight="1" outlineLevel="2" spans="1:76">
      <c r="A185" s="61">
        <f t="shared" si="55"/>
        <v>9</v>
      </c>
      <c r="B185" s="62" t="s">
        <v>873</v>
      </c>
      <c r="C185" s="63" t="s">
        <v>874</v>
      </c>
      <c r="D185" s="64" t="s">
        <v>610</v>
      </c>
      <c r="E185" s="65">
        <v>1</v>
      </c>
      <c r="F185" s="66">
        <f t="shared" si="56"/>
        <v>0</v>
      </c>
      <c r="G185" s="65">
        <f t="shared" si="57"/>
        <v>0</v>
      </c>
      <c r="H185" s="66">
        <f t="shared" si="58"/>
        <v>0</v>
      </c>
      <c r="I185" s="67">
        <f t="shared" si="59"/>
        <v>0</v>
      </c>
      <c r="J185" s="67">
        <f t="shared" si="60"/>
        <v>0</v>
      </c>
      <c r="K185" s="68">
        <f t="shared" si="61"/>
        <v>0</v>
      </c>
      <c r="L185" s="69"/>
      <c r="M185" s="70"/>
      <c r="N185" s="70"/>
      <c r="O185" s="70"/>
      <c r="P185" s="37">
        <f t="shared" si="62"/>
        <v>0</v>
      </c>
      <c r="Q185" s="71"/>
      <c r="R185" s="71"/>
      <c r="S185" s="71"/>
      <c r="T185" s="71"/>
      <c r="U185" s="71"/>
      <c r="V185" s="37">
        <f t="shared" si="63"/>
        <v>0</v>
      </c>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row>
    <row r="186" s="23" customFormat="1" ht="36" customHeight="1" outlineLevel="2" spans="1:76">
      <c r="A186" s="61">
        <f t="shared" si="55"/>
        <v>10</v>
      </c>
      <c r="B186" s="62" t="s">
        <v>875</v>
      </c>
      <c r="C186" s="63" t="s">
        <v>876</v>
      </c>
      <c r="D186" s="64" t="s">
        <v>610</v>
      </c>
      <c r="E186" s="65">
        <v>1</v>
      </c>
      <c r="F186" s="66">
        <f t="shared" si="56"/>
        <v>0</v>
      </c>
      <c r="G186" s="65">
        <f t="shared" si="57"/>
        <v>0</v>
      </c>
      <c r="H186" s="66">
        <f t="shared" si="58"/>
        <v>0</v>
      </c>
      <c r="I186" s="67">
        <f t="shared" si="59"/>
        <v>0</v>
      </c>
      <c r="J186" s="67">
        <f t="shared" si="60"/>
        <v>0</v>
      </c>
      <c r="K186" s="68">
        <f t="shared" si="61"/>
        <v>0</v>
      </c>
      <c r="L186" s="69"/>
      <c r="M186" s="70"/>
      <c r="N186" s="70"/>
      <c r="O186" s="70"/>
      <c r="P186" s="37">
        <f t="shared" si="62"/>
        <v>0</v>
      </c>
      <c r="Q186" s="71"/>
      <c r="R186" s="71"/>
      <c r="S186" s="71"/>
      <c r="T186" s="71"/>
      <c r="U186" s="71"/>
      <c r="V186" s="37">
        <f t="shared" si="63"/>
        <v>0</v>
      </c>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row>
    <row r="187" s="23" customFormat="1" ht="36" customHeight="1" outlineLevel="2" spans="1:76">
      <c r="A187" s="61">
        <f t="shared" si="55"/>
        <v>11</v>
      </c>
      <c r="B187" s="62" t="s">
        <v>875</v>
      </c>
      <c r="C187" s="63" t="s">
        <v>877</v>
      </c>
      <c r="D187" s="64" t="s">
        <v>610</v>
      </c>
      <c r="E187" s="65">
        <v>1</v>
      </c>
      <c r="F187" s="66">
        <f t="shared" si="56"/>
        <v>0</v>
      </c>
      <c r="G187" s="65">
        <f t="shared" si="57"/>
        <v>0</v>
      </c>
      <c r="H187" s="66">
        <f t="shared" si="58"/>
        <v>0</v>
      </c>
      <c r="I187" s="67">
        <f t="shared" si="59"/>
        <v>0</v>
      </c>
      <c r="J187" s="67">
        <f t="shared" si="60"/>
        <v>0</v>
      </c>
      <c r="K187" s="68">
        <f t="shared" si="61"/>
        <v>0</v>
      </c>
      <c r="L187" s="69"/>
      <c r="M187" s="70"/>
      <c r="N187" s="70"/>
      <c r="O187" s="70"/>
      <c r="P187" s="37">
        <f t="shared" si="62"/>
        <v>0</v>
      </c>
      <c r="Q187" s="71"/>
      <c r="R187" s="71"/>
      <c r="S187" s="71"/>
      <c r="T187" s="71"/>
      <c r="U187" s="71"/>
      <c r="V187" s="37">
        <f t="shared" si="63"/>
        <v>0</v>
      </c>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row>
    <row r="188" s="23" customFormat="1" ht="36" customHeight="1" outlineLevel="2" spans="1:76">
      <c r="A188" s="61">
        <f t="shared" si="55"/>
        <v>12</v>
      </c>
      <c r="B188" s="62" t="s">
        <v>875</v>
      </c>
      <c r="C188" s="63" t="s">
        <v>878</v>
      </c>
      <c r="D188" s="64" t="s">
        <v>610</v>
      </c>
      <c r="E188" s="65">
        <v>2</v>
      </c>
      <c r="F188" s="66">
        <f t="shared" si="56"/>
        <v>0</v>
      </c>
      <c r="G188" s="65">
        <f t="shared" si="57"/>
        <v>0</v>
      </c>
      <c r="H188" s="66">
        <f t="shared" si="58"/>
        <v>0</v>
      </c>
      <c r="I188" s="67">
        <f t="shared" si="59"/>
        <v>0</v>
      </c>
      <c r="J188" s="67">
        <f t="shared" si="60"/>
        <v>0</v>
      </c>
      <c r="K188" s="68">
        <f t="shared" si="61"/>
        <v>0</v>
      </c>
      <c r="L188" s="69"/>
      <c r="M188" s="70"/>
      <c r="N188" s="70"/>
      <c r="O188" s="70"/>
      <c r="P188" s="37">
        <f t="shared" si="62"/>
        <v>0</v>
      </c>
      <c r="Q188" s="71"/>
      <c r="R188" s="71"/>
      <c r="S188" s="71"/>
      <c r="T188" s="71"/>
      <c r="U188" s="71"/>
      <c r="V188" s="37">
        <f t="shared" si="63"/>
        <v>0</v>
      </c>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row>
    <row r="189" s="23" customFormat="1" ht="36" customHeight="1" outlineLevel="2" spans="1:76">
      <c r="A189" s="61">
        <f t="shared" si="55"/>
        <v>13</v>
      </c>
      <c r="B189" s="62" t="s">
        <v>875</v>
      </c>
      <c r="C189" s="63" t="s">
        <v>879</v>
      </c>
      <c r="D189" s="64" t="s">
        <v>610</v>
      </c>
      <c r="E189" s="65">
        <v>7</v>
      </c>
      <c r="F189" s="66">
        <f t="shared" si="56"/>
        <v>0</v>
      </c>
      <c r="G189" s="65">
        <f t="shared" si="57"/>
        <v>0</v>
      </c>
      <c r="H189" s="66">
        <f t="shared" si="58"/>
        <v>0</v>
      </c>
      <c r="I189" s="67">
        <f t="shared" si="59"/>
        <v>0</v>
      </c>
      <c r="J189" s="67">
        <f t="shared" si="60"/>
        <v>0</v>
      </c>
      <c r="K189" s="68">
        <f t="shared" si="61"/>
        <v>0</v>
      </c>
      <c r="L189" s="69"/>
      <c r="M189" s="70"/>
      <c r="N189" s="70"/>
      <c r="O189" s="70"/>
      <c r="P189" s="37">
        <f t="shared" si="62"/>
        <v>0</v>
      </c>
      <c r="Q189" s="71"/>
      <c r="R189" s="71"/>
      <c r="S189" s="71"/>
      <c r="T189" s="71"/>
      <c r="U189" s="71"/>
      <c r="V189" s="37">
        <f t="shared" si="63"/>
        <v>0</v>
      </c>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row>
    <row r="190" s="23" customFormat="1" ht="36" customHeight="1" outlineLevel="2" spans="1:76">
      <c r="A190" s="61">
        <f t="shared" si="55"/>
        <v>14</v>
      </c>
      <c r="B190" s="62" t="s">
        <v>875</v>
      </c>
      <c r="C190" s="63" t="s">
        <v>880</v>
      </c>
      <c r="D190" s="64" t="s">
        <v>610</v>
      </c>
      <c r="E190" s="65">
        <v>3</v>
      </c>
      <c r="F190" s="66">
        <f t="shared" si="56"/>
        <v>0</v>
      </c>
      <c r="G190" s="65">
        <f t="shared" si="57"/>
        <v>0</v>
      </c>
      <c r="H190" s="66">
        <f t="shared" si="58"/>
        <v>0</v>
      </c>
      <c r="I190" s="67">
        <f t="shared" si="59"/>
        <v>0</v>
      </c>
      <c r="J190" s="67">
        <f t="shared" si="60"/>
        <v>0</v>
      </c>
      <c r="K190" s="68">
        <f t="shared" si="61"/>
        <v>0</v>
      </c>
      <c r="L190" s="69"/>
      <c r="M190" s="70"/>
      <c r="N190" s="70"/>
      <c r="O190" s="70"/>
      <c r="P190" s="37">
        <f t="shared" si="62"/>
        <v>0</v>
      </c>
      <c r="Q190" s="71"/>
      <c r="R190" s="71"/>
      <c r="S190" s="71"/>
      <c r="T190" s="71"/>
      <c r="U190" s="71"/>
      <c r="V190" s="37">
        <f t="shared" si="63"/>
        <v>0</v>
      </c>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row>
    <row r="191" s="23" customFormat="1" ht="36" customHeight="1" outlineLevel="2" spans="1:76">
      <c r="A191" s="61">
        <f t="shared" si="55"/>
        <v>15</v>
      </c>
      <c r="B191" s="62" t="s">
        <v>875</v>
      </c>
      <c r="C191" s="63" t="s">
        <v>881</v>
      </c>
      <c r="D191" s="64" t="s">
        <v>610</v>
      </c>
      <c r="E191" s="65">
        <v>8</v>
      </c>
      <c r="F191" s="66">
        <f t="shared" si="56"/>
        <v>0</v>
      </c>
      <c r="G191" s="65">
        <f t="shared" si="57"/>
        <v>0</v>
      </c>
      <c r="H191" s="66">
        <f t="shared" si="58"/>
        <v>0</v>
      </c>
      <c r="I191" s="67">
        <f t="shared" si="59"/>
        <v>0</v>
      </c>
      <c r="J191" s="67">
        <f t="shared" si="60"/>
        <v>0</v>
      </c>
      <c r="K191" s="68">
        <f t="shared" si="61"/>
        <v>0</v>
      </c>
      <c r="L191" s="69"/>
      <c r="M191" s="70"/>
      <c r="N191" s="70"/>
      <c r="O191" s="70"/>
      <c r="P191" s="37">
        <f t="shared" si="62"/>
        <v>0</v>
      </c>
      <c r="Q191" s="71"/>
      <c r="R191" s="71"/>
      <c r="S191" s="71"/>
      <c r="T191" s="71"/>
      <c r="U191" s="71"/>
      <c r="V191" s="37">
        <f t="shared" si="63"/>
        <v>0</v>
      </c>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row>
    <row r="192" s="23" customFormat="1" ht="60" customHeight="1" outlineLevel="2" spans="1:76">
      <c r="A192" s="61">
        <f t="shared" si="55"/>
        <v>16</v>
      </c>
      <c r="B192" s="62" t="s">
        <v>882</v>
      </c>
      <c r="C192" s="63" t="s">
        <v>883</v>
      </c>
      <c r="D192" s="64" t="s">
        <v>828</v>
      </c>
      <c r="E192" s="65">
        <v>139.067</v>
      </c>
      <c r="F192" s="66">
        <f t="shared" si="56"/>
        <v>0</v>
      </c>
      <c r="G192" s="65">
        <f t="shared" si="57"/>
        <v>0</v>
      </c>
      <c r="H192" s="66">
        <f t="shared" si="58"/>
        <v>0</v>
      </c>
      <c r="I192" s="67">
        <f t="shared" si="59"/>
        <v>0</v>
      </c>
      <c r="J192" s="67">
        <f t="shared" si="60"/>
        <v>0</v>
      </c>
      <c r="K192" s="68">
        <f t="shared" si="61"/>
        <v>0</v>
      </c>
      <c r="L192" s="69"/>
      <c r="M192" s="70"/>
      <c r="N192" s="70"/>
      <c r="O192" s="70"/>
      <c r="P192" s="37">
        <f t="shared" si="62"/>
        <v>0</v>
      </c>
      <c r="Q192" s="71"/>
      <c r="R192" s="71"/>
      <c r="S192" s="71"/>
      <c r="T192" s="71"/>
      <c r="U192" s="71"/>
      <c r="V192" s="37">
        <f t="shared" si="63"/>
        <v>0</v>
      </c>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row>
    <row r="193" s="23" customFormat="1" ht="60" customHeight="1" outlineLevel="2" spans="1:76">
      <c r="A193" s="61">
        <f t="shared" si="55"/>
        <v>17</v>
      </c>
      <c r="B193" s="62" t="s">
        <v>882</v>
      </c>
      <c r="C193" s="63" t="s">
        <v>884</v>
      </c>
      <c r="D193" s="64" t="s">
        <v>828</v>
      </c>
      <c r="E193" s="65">
        <v>1.592</v>
      </c>
      <c r="F193" s="66">
        <f t="shared" si="56"/>
        <v>0</v>
      </c>
      <c r="G193" s="65">
        <f t="shared" si="57"/>
        <v>0</v>
      </c>
      <c r="H193" s="66">
        <f t="shared" si="58"/>
        <v>0</v>
      </c>
      <c r="I193" s="67">
        <f t="shared" si="59"/>
        <v>0</v>
      </c>
      <c r="J193" s="67">
        <f t="shared" si="60"/>
        <v>0</v>
      </c>
      <c r="K193" s="68">
        <f t="shared" si="61"/>
        <v>0</v>
      </c>
      <c r="L193" s="69"/>
      <c r="M193" s="70"/>
      <c r="N193" s="70"/>
      <c r="O193" s="70"/>
      <c r="P193" s="37">
        <f t="shared" si="62"/>
        <v>0</v>
      </c>
      <c r="Q193" s="71"/>
      <c r="R193" s="71"/>
      <c r="S193" s="71"/>
      <c r="T193" s="71"/>
      <c r="U193" s="71"/>
      <c r="V193" s="37">
        <f t="shared" si="63"/>
        <v>0</v>
      </c>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row>
    <row r="194" s="23" customFormat="1" ht="60" customHeight="1" outlineLevel="2" spans="1:76">
      <c r="A194" s="61">
        <f t="shared" si="55"/>
        <v>18</v>
      </c>
      <c r="B194" s="62" t="s">
        <v>882</v>
      </c>
      <c r="C194" s="63" t="s">
        <v>885</v>
      </c>
      <c r="D194" s="64" t="s">
        <v>828</v>
      </c>
      <c r="E194" s="65">
        <v>3.269</v>
      </c>
      <c r="F194" s="66">
        <f t="shared" si="56"/>
        <v>0</v>
      </c>
      <c r="G194" s="65">
        <f t="shared" si="57"/>
        <v>0</v>
      </c>
      <c r="H194" s="66">
        <f t="shared" si="58"/>
        <v>0</v>
      </c>
      <c r="I194" s="67">
        <f t="shared" si="59"/>
        <v>0</v>
      </c>
      <c r="J194" s="67">
        <f t="shared" si="60"/>
        <v>0</v>
      </c>
      <c r="K194" s="68">
        <f t="shared" si="61"/>
        <v>0</v>
      </c>
      <c r="L194" s="69"/>
      <c r="M194" s="70"/>
      <c r="N194" s="70"/>
      <c r="O194" s="70"/>
      <c r="P194" s="37">
        <f t="shared" si="62"/>
        <v>0</v>
      </c>
      <c r="Q194" s="71"/>
      <c r="R194" s="71"/>
      <c r="S194" s="71"/>
      <c r="T194" s="71"/>
      <c r="U194" s="71"/>
      <c r="V194" s="37">
        <f t="shared" si="63"/>
        <v>0</v>
      </c>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row>
    <row r="195" s="23" customFormat="1" ht="36" customHeight="1" outlineLevel="2" spans="1:76">
      <c r="A195" s="93">
        <f t="shared" si="55"/>
        <v>19</v>
      </c>
      <c r="B195" s="94" t="s">
        <v>826</v>
      </c>
      <c r="C195" s="95" t="s">
        <v>827</v>
      </c>
      <c r="D195" s="50" t="s">
        <v>828</v>
      </c>
      <c r="E195" s="51">
        <v>2.89</v>
      </c>
      <c r="F195" s="96">
        <f>$F$156</f>
        <v>0</v>
      </c>
      <c r="G195" s="51">
        <f>$G$156</f>
        <v>0</v>
      </c>
      <c r="H195" s="96">
        <f>$H$156</f>
        <v>0</v>
      </c>
      <c r="I195" s="54">
        <f t="shared" si="59"/>
        <v>0</v>
      </c>
      <c r="J195" s="54">
        <f t="shared" si="60"/>
        <v>0</v>
      </c>
      <c r="K195" s="97">
        <f t="shared" si="61"/>
        <v>0</v>
      </c>
      <c r="L195" s="105"/>
      <c r="M195" s="70"/>
      <c r="N195" s="70"/>
      <c r="O195" s="70"/>
      <c r="P195" s="37">
        <f t="shared" si="62"/>
        <v>0</v>
      </c>
      <c r="Q195" s="99"/>
      <c r="R195" s="99"/>
      <c r="S195" s="99"/>
      <c r="T195" s="99"/>
      <c r="U195" s="99"/>
      <c r="V195" s="37">
        <f t="shared" si="63"/>
        <v>0</v>
      </c>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row>
    <row r="196" s="23" customFormat="1" ht="20" customHeight="1" outlineLevel="1" spans="1:76">
      <c r="A196" s="112"/>
      <c r="B196" s="59" t="s">
        <v>886</v>
      </c>
      <c r="C196" s="102"/>
      <c r="D196" s="48"/>
      <c r="E196" s="103"/>
      <c r="F196" s="104"/>
      <c r="G196" s="104"/>
      <c r="H196" s="104"/>
      <c r="I196" s="54"/>
      <c r="J196" s="55"/>
      <c r="K196" s="55">
        <f>SUM(K197:K208)</f>
        <v>0</v>
      </c>
      <c r="L196" s="105"/>
      <c r="M196" s="70"/>
      <c r="N196" s="70"/>
      <c r="O196" s="70"/>
      <c r="P196" s="106"/>
      <c r="Q196" s="106"/>
      <c r="R196" s="106"/>
      <c r="S196" s="106"/>
      <c r="T196" s="106"/>
      <c r="U196" s="106"/>
      <c r="V196" s="106"/>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row>
    <row r="197" s="23" customFormat="1" ht="72" customHeight="1" outlineLevel="2" spans="1:76">
      <c r="A197" s="61">
        <f t="shared" ref="A197:A208" si="64">A196+1</f>
        <v>1</v>
      </c>
      <c r="B197" s="62" t="s">
        <v>887</v>
      </c>
      <c r="C197" s="63" t="s">
        <v>888</v>
      </c>
      <c r="D197" s="64" t="s">
        <v>70</v>
      </c>
      <c r="E197" s="65">
        <v>200.475</v>
      </c>
      <c r="F197" s="66">
        <f t="shared" ref="F197:F208" si="65">S197*$S$1</f>
        <v>0</v>
      </c>
      <c r="G197" s="65">
        <f t="shared" ref="G197:G208" si="66">Q197*(1+R197)*$Q$1</f>
        <v>0</v>
      </c>
      <c r="H197" s="66">
        <f t="shared" ref="H197:H208" si="67">(T197+U197)*$T$1</f>
        <v>0</v>
      </c>
      <c r="I197" s="67">
        <f t="shared" ref="I197:I208" si="68">(F197+G197+H197)*$I$3</f>
        <v>0</v>
      </c>
      <c r="J197" s="67">
        <f t="shared" ref="J197:J208" si="69">F197+G197+H197+I197</f>
        <v>0</v>
      </c>
      <c r="K197" s="68">
        <f t="shared" ref="K197:K208" si="70">ROUND(E197*J197,2)</f>
        <v>0</v>
      </c>
      <c r="L197" s="69"/>
      <c r="M197" s="70"/>
      <c r="N197" s="70"/>
      <c r="O197" s="70"/>
      <c r="P197" s="37">
        <f t="shared" ref="P197:P208" si="71">Q197+Q197*R197+S197+T197+U197</f>
        <v>0</v>
      </c>
      <c r="Q197" s="71"/>
      <c r="R197" s="71"/>
      <c r="S197" s="71"/>
      <c r="T197" s="71"/>
      <c r="U197" s="71"/>
      <c r="V197" s="37">
        <f t="shared" ref="V197:V208" si="72">P197*E197</f>
        <v>0</v>
      </c>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row>
    <row r="198" s="23" customFormat="1" ht="72" customHeight="1" outlineLevel="2" spans="1:76">
      <c r="A198" s="61">
        <f t="shared" si="64"/>
        <v>2</v>
      </c>
      <c r="B198" s="62" t="s">
        <v>889</v>
      </c>
      <c r="C198" s="63" t="s">
        <v>890</v>
      </c>
      <c r="D198" s="64" t="s">
        <v>70</v>
      </c>
      <c r="E198" s="65">
        <v>128.354</v>
      </c>
      <c r="F198" s="66">
        <f t="shared" si="65"/>
        <v>0</v>
      </c>
      <c r="G198" s="65">
        <f t="shared" si="66"/>
        <v>0</v>
      </c>
      <c r="H198" s="66">
        <f t="shared" si="67"/>
        <v>0</v>
      </c>
      <c r="I198" s="67">
        <f t="shared" si="68"/>
        <v>0</v>
      </c>
      <c r="J198" s="67">
        <f t="shared" si="69"/>
        <v>0</v>
      </c>
      <c r="K198" s="68">
        <f t="shared" si="70"/>
        <v>0</v>
      </c>
      <c r="L198" s="69"/>
      <c r="M198" s="70"/>
      <c r="N198" s="70"/>
      <c r="O198" s="70"/>
      <c r="P198" s="37">
        <f t="shared" si="71"/>
        <v>0</v>
      </c>
      <c r="Q198" s="71"/>
      <c r="R198" s="71"/>
      <c r="S198" s="71"/>
      <c r="T198" s="71"/>
      <c r="U198" s="71"/>
      <c r="V198" s="37">
        <f t="shared" si="72"/>
        <v>0</v>
      </c>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row>
    <row r="199" s="23" customFormat="1" ht="72" customHeight="1" outlineLevel="2" spans="1:76">
      <c r="A199" s="61">
        <f t="shared" si="64"/>
        <v>3</v>
      </c>
      <c r="B199" s="62" t="s">
        <v>891</v>
      </c>
      <c r="C199" s="63" t="s">
        <v>892</v>
      </c>
      <c r="D199" s="64" t="s">
        <v>70</v>
      </c>
      <c r="E199" s="65">
        <v>42.848</v>
      </c>
      <c r="F199" s="66">
        <f t="shared" si="65"/>
        <v>0</v>
      </c>
      <c r="G199" s="65">
        <f t="shared" si="66"/>
        <v>0</v>
      </c>
      <c r="H199" s="66">
        <f t="shared" si="67"/>
        <v>0</v>
      </c>
      <c r="I199" s="67">
        <f t="shared" si="68"/>
        <v>0</v>
      </c>
      <c r="J199" s="67">
        <f t="shared" si="69"/>
        <v>0</v>
      </c>
      <c r="K199" s="68">
        <f t="shared" si="70"/>
        <v>0</v>
      </c>
      <c r="L199" s="69"/>
      <c r="M199" s="70"/>
      <c r="N199" s="70"/>
      <c r="O199" s="70"/>
      <c r="P199" s="37">
        <f t="shared" si="71"/>
        <v>0</v>
      </c>
      <c r="Q199" s="71"/>
      <c r="R199" s="71"/>
      <c r="S199" s="71"/>
      <c r="T199" s="71"/>
      <c r="U199" s="71"/>
      <c r="V199" s="37">
        <f t="shared" si="72"/>
        <v>0</v>
      </c>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row>
    <row r="200" s="23" customFormat="1" ht="72" customHeight="1" outlineLevel="2" spans="1:76">
      <c r="A200" s="61">
        <f t="shared" si="64"/>
        <v>4</v>
      </c>
      <c r="B200" s="62" t="s">
        <v>893</v>
      </c>
      <c r="C200" s="63" t="s">
        <v>894</v>
      </c>
      <c r="D200" s="64" t="s">
        <v>70</v>
      </c>
      <c r="E200" s="65">
        <v>258.484</v>
      </c>
      <c r="F200" s="66">
        <f t="shared" si="65"/>
        <v>0</v>
      </c>
      <c r="G200" s="65">
        <f t="shared" si="66"/>
        <v>0</v>
      </c>
      <c r="H200" s="66">
        <f t="shared" si="67"/>
        <v>0</v>
      </c>
      <c r="I200" s="67">
        <f t="shared" si="68"/>
        <v>0</v>
      </c>
      <c r="J200" s="67">
        <f t="shared" si="69"/>
        <v>0</v>
      </c>
      <c r="K200" s="68">
        <f t="shared" si="70"/>
        <v>0</v>
      </c>
      <c r="L200" s="69"/>
      <c r="M200" s="70"/>
      <c r="N200" s="70"/>
      <c r="O200" s="70"/>
      <c r="P200" s="37">
        <f t="shared" si="71"/>
        <v>0</v>
      </c>
      <c r="Q200" s="71"/>
      <c r="R200" s="71"/>
      <c r="S200" s="71"/>
      <c r="T200" s="71"/>
      <c r="U200" s="71"/>
      <c r="V200" s="37">
        <f t="shared" si="72"/>
        <v>0</v>
      </c>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row>
    <row r="201" s="23" customFormat="1" ht="72" customHeight="1" outlineLevel="2" spans="1:76">
      <c r="A201" s="61">
        <f t="shared" si="64"/>
        <v>5</v>
      </c>
      <c r="B201" s="62" t="s">
        <v>895</v>
      </c>
      <c r="C201" s="63" t="s">
        <v>896</v>
      </c>
      <c r="D201" s="64" t="s">
        <v>70</v>
      </c>
      <c r="E201" s="65">
        <v>418.361</v>
      </c>
      <c r="F201" s="66">
        <f t="shared" si="65"/>
        <v>0</v>
      </c>
      <c r="G201" s="65">
        <f t="shared" si="66"/>
        <v>0</v>
      </c>
      <c r="H201" s="66">
        <f t="shared" si="67"/>
        <v>0</v>
      </c>
      <c r="I201" s="67">
        <f t="shared" si="68"/>
        <v>0</v>
      </c>
      <c r="J201" s="67">
        <f t="shared" si="69"/>
        <v>0</v>
      </c>
      <c r="K201" s="68">
        <f t="shared" si="70"/>
        <v>0</v>
      </c>
      <c r="L201" s="69"/>
      <c r="M201" s="70"/>
      <c r="N201" s="70"/>
      <c r="O201" s="70"/>
      <c r="P201" s="37">
        <f t="shared" si="71"/>
        <v>0</v>
      </c>
      <c r="Q201" s="71"/>
      <c r="R201" s="71"/>
      <c r="S201" s="71"/>
      <c r="T201" s="71"/>
      <c r="U201" s="71"/>
      <c r="V201" s="37">
        <f t="shared" si="72"/>
        <v>0</v>
      </c>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row>
    <row r="202" s="23" customFormat="1" ht="72" customHeight="1" outlineLevel="2" spans="1:76">
      <c r="A202" s="61">
        <f t="shared" si="64"/>
        <v>6</v>
      </c>
      <c r="B202" s="62" t="s">
        <v>897</v>
      </c>
      <c r="C202" s="63" t="s">
        <v>898</v>
      </c>
      <c r="D202" s="64" t="s">
        <v>70</v>
      </c>
      <c r="E202" s="65">
        <v>293.799</v>
      </c>
      <c r="F202" s="66">
        <f t="shared" si="65"/>
        <v>0</v>
      </c>
      <c r="G202" s="65">
        <f t="shared" si="66"/>
        <v>0</v>
      </c>
      <c r="H202" s="66">
        <f t="shared" si="67"/>
        <v>0</v>
      </c>
      <c r="I202" s="67">
        <f t="shared" si="68"/>
        <v>0</v>
      </c>
      <c r="J202" s="67">
        <f t="shared" si="69"/>
        <v>0</v>
      </c>
      <c r="K202" s="68">
        <f t="shared" si="70"/>
        <v>0</v>
      </c>
      <c r="L202" s="69"/>
      <c r="M202" s="70"/>
      <c r="N202" s="70"/>
      <c r="O202" s="70"/>
      <c r="P202" s="37">
        <f t="shared" si="71"/>
        <v>0</v>
      </c>
      <c r="Q202" s="71"/>
      <c r="R202" s="71"/>
      <c r="S202" s="71"/>
      <c r="T202" s="71"/>
      <c r="U202" s="71"/>
      <c r="V202" s="37">
        <f t="shared" si="72"/>
        <v>0</v>
      </c>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row>
    <row r="203" s="23" customFormat="1" ht="72" customHeight="1" outlineLevel="2" spans="1:76">
      <c r="A203" s="61">
        <f t="shared" si="64"/>
        <v>7</v>
      </c>
      <c r="B203" s="62" t="s">
        <v>899</v>
      </c>
      <c r="C203" s="63" t="s">
        <v>900</v>
      </c>
      <c r="D203" s="64" t="s">
        <v>70</v>
      </c>
      <c r="E203" s="65">
        <v>123.62</v>
      </c>
      <c r="F203" s="66">
        <f t="shared" si="65"/>
        <v>0</v>
      </c>
      <c r="G203" s="65">
        <f t="shared" si="66"/>
        <v>0</v>
      </c>
      <c r="H203" s="66">
        <f t="shared" si="67"/>
        <v>0</v>
      </c>
      <c r="I203" s="67">
        <f t="shared" si="68"/>
        <v>0</v>
      </c>
      <c r="J203" s="67">
        <f t="shared" si="69"/>
        <v>0</v>
      </c>
      <c r="K203" s="68">
        <f t="shared" si="70"/>
        <v>0</v>
      </c>
      <c r="L203" s="69"/>
      <c r="M203" s="70"/>
      <c r="N203" s="70"/>
      <c r="O203" s="70"/>
      <c r="P203" s="37">
        <f t="shared" si="71"/>
        <v>0</v>
      </c>
      <c r="Q203" s="71"/>
      <c r="R203" s="71"/>
      <c r="S203" s="71"/>
      <c r="T203" s="71"/>
      <c r="U203" s="71"/>
      <c r="V203" s="37">
        <f t="shared" si="72"/>
        <v>0</v>
      </c>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row>
    <row r="204" s="23" customFormat="1" ht="72" customHeight="1" outlineLevel="2" spans="1:76">
      <c r="A204" s="61">
        <f t="shared" si="64"/>
        <v>8</v>
      </c>
      <c r="B204" s="62" t="s">
        <v>901</v>
      </c>
      <c r="C204" s="63" t="s">
        <v>902</v>
      </c>
      <c r="D204" s="64" t="s">
        <v>70</v>
      </c>
      <c r="E204" s="65">
        <v>107.8</v>
      </c>
      <c r="F204" s="66">
        <f t="shared" si="65"/>
        <v>0</v>
      </c>
      <c r="G204" s="65">
        <f t="shared" si="66"/>
        <v>0</v>
      </c>
      <c r="H204" s="66">
        <f t="shared" si="67"/>
        <v>0</v>
      </c>
      <c r="I204" s="67">
        <f t="shared" si="68"/>
        <v>0</v>
      </c>
      <c r="J204" s="67">
        <f t="shared" si="69"/>
        <v>0</v>
      </c>
      <c r="K204" s="68">
        <f t="shared" si="70"/>
        <v>0</v>
      </c>
      <c r="L204" s="69"/>
      <c r="M204" s="70"/>
      <c r="N204" s="70"/>
      <c r="O204" s="70"/>
      <c r="P204" s="37">
        <f t="shared" si="71"/>
        <v>0</v>
      </c>
      <c r="Q204" s="71"/>
      <c r="R204" s="71"/>
      <c r="S204" s="71"/>
      <c r="T204" s="71"/>
      <c r="U204" s="71"/>
      <c r="V204" s="37">
        <f t="shared" si="72"/>
        <v>0</v>
      </c>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row>
    <row r="205" s="23" customFormat="1" ht="72" customHeight="1" outlineLevel="2" spans="1:76">
      <c r="A205" s="61">
        <f t="shared" si="64"/>
        <v>9</v>
      </c>
      <c r="B205" s="62" t="s">
        <v>903</v>
      </c>
      <c r="C205" s="63" t="s">
        <v>904</v>
      </c>
      <c r="D205" s="64" t="s">
        <v>70</v>
      </c>
      <c r="E205" s="65">
        <v>305.433</v>
      </c>
      <c r="F205" s="66">
        <f t="shared" si="65"/>
        <v>0</v>
      </c>
      <c r="G205" s="65">
        <f t="shared" si="66"/>
        <v>0</v>
      </c>
      <c r="H205" s="66">
        <f t="shared" si="67"/>
        <v>0</v>
      </c>
      <c r="I205" s="67">
        <f t="shared" si="68"/>
        <v>0</v>
      </c>
      <c r="J205" s="67">
        <f t="shared" si="69"/>
        <v>0</v>
      </c>
      <c r="K205" s="68">
        <f t="shared" si="70"/>
        <v>0</v>
      </c>
      <c r="L205" s="69"/>
      <c r="M205" s="70"/>
      <c r="N205" s="70"/>
      <c r="O205" s="70"/>
      <c r="P205" s="37">
        <f t="shared" si="71"/>
        <v>0</v>
      </c>
      <c r="Q205" s="71"/>
      <c r="R205" s="71"/>
      <c r="S205" s="71"/>
      <c r="T205" s="71"/>
      <c r="U205" s="71"/>
      <c r="V205" s="37">
        <f t="shared" si="72"/>
        <v>0</v>
      </c>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row>
    <row r="206" s="23" customFormat="1" ht="36" customHeight="1" outlineLevel="2" spans="1:76">
      <c r="A206" s="61">
        <f t="shared" si="64"/>
        <v>10</v>
      </c>
      <c r="B206" s="62" t="s">
        <v>905</v>
      </c>
      <c r="C206" s="63" t="s">
        <v>906</v>
      </c>
      <c r="D206" s="64" t="s">
        <v>70</v>
      </c>
      <c r="E206" s="65">
        <v>134.57</v>
      </c>
      <c r="F206" s="66">
        <f t="shared" si="65"/>
        <v>0</v>
      </c>
      <c r="G206" s="65">
        <f t="shared" si="66"/>
        <v>0</v>
      </c>
      <c r="H206" s="66">
        <f t="shared" si="67"/>
        <v>0</v>
      </c>
      <c r="I206" s="67">
        <f t="shared" si="68"/>
        <v>0</v>
      </c>
      <c r="J206" s="67">
        <f t="shared" si="69"/>
        <v>0</v>
      </c>
      <c r="K206" s="68">
        <f t="shared" si="70"/>
        <v>0</v>
      </c>
      <c r="L206" s="69"/>
      <c r="M206" s="70"/>
      <c r="N206" s="70"/>
      <c r="O206" s="70"/>
      <c r="P206" s="37">
        <f t="shared" si="71"/>
        <v>0</v>
      </c>
      <c r="Q206" s="71"/>
      <c r="R206" s="71"/>
      <c r="S206" s="71"/>
      <c r="T206" s="71"/>
      <c r="U206" s="71"/>
      <c r="V206" s="37">
        <f t="shared" si="72"/>
        <v>0</v>
      </c>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row>
    <row r="207" s="23" customFormat="1" ht="36" customHeight="1" outlineLevel="2" spans="1:76">
      <c r="A207" s="61">
        <f t="shared" si="64"/>
        <v>11</v>
      </c>
      <c r="B207" s="62" t="s">
        <v>907</v>
      </c>
      <c r="C207" s="63" t="s">
        <v>908</v>
      </c>
      <c r="D207" s="64" t="s">
        <v>610</v>
      </c>
      <c r="E207" s="65">
        <v>22</v>
      </c>
      <c r="F207" s="66">
        <f t="shared" si="65"/>
        <v>0</v>
      </c>
      <c r="G207" s="65">
        <f t="shared" si="66"/>
        <v>0</v>
      </c>
      <c r="H207" s="66">
        <f t="shared" si="67"/>
        <v>0</v>
      </c>
      <c r="I207" s="67">
        <f t="shared" si="68"/>
        <v>0</v>
      </c>
      <c r="J207" s="67">
        <f t="shared" si="69"/>
        <v>0</v>
      </c>
      <c r="K207" s="68">
        <f t="shared" si="70"/>
        <v>0</v>
      </c>
      <c r="L207" s="69"/>
      <c r="M207" s="70"/>
      <c r="N207" s="70"/>
      <c r="O207" s="70"/>
      <c r="P207" s="37">
        <f t="shared" si="71"/>
        <v>0</v>
      </c>
      <c r="Q207" s="71"/>
      <c r="R207" s="71"/>
      <c r="S207" s="71"/>
      <c r="T207" s="71"/>
      <c r="U207" s="71"/>
      <c r="V207" s="37">
        <f t="shared" si="72"/>
        <v>0</v>
      </c>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row>
    <row r="208" s="23" customFormat="1" ht="36" customHeight="1" outlineLevel="2" spans="1:76">
      <c r="A208" s="61">
        <f t="shared" si="64"/>
        <v>12</v>
      </c>
      <c r="B208" s="62" t="s">
        <v>909</v>
      </c>
      <c r="C208" s="63" t="s">
        <v>910</v>
      </c>
      <c r="D208" s="64" t="s">
        <v>610</v>
      </c>
      <c r="E208" s="65">
        <v>37</v>
      </c>
      <c r="F208" s="66">
        <f t="shared" si="65"/>
        <v>0</v>
      </c>
      <c r="G208" s="65">
        <f t="shared" si="66"/>
        <v>0</v>
      </c>
      <c r="H208" s="66">
        <f t="shared" si="67"/>
        <v>0</v>
      </c>
      <c r="I208" s="67">
        <f t="shared" si="68"/>
        <v>0</v>
      </c>
      <c r="J208" s="67">
        <f t="shared" si="69"/>
        <v>0</v>
      </c>
      <c r="K208" s="68">
        <f t="shared" si="70"/>
        <v>0</v>
      </c>
      <c r="L208" s="69"/>
      <c r="M208" s="70"/>
      <c r="N208" s="70"/>
      <c r="O208" s="70"/>
      <c r="P208" s="37">
        <f t="shared" si="71"/>
        <v>0</v>
      </c>
      <c r="Q208" s="71"/>
      <c r="R208" s="71"/>
      <c r="S208" s="71"/>
      <c r="T208" s="71"/>
      <c r="U208" s="71"/>
      <c r="V208" s="37">
        <f t="shared" si="72"/>
        <v>0</v>
      </c>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row>
    <row r="209" s="23" customFormat="1" ht="20" customHeight="1" outlineLevel="1" spans="1:76">
      <c r="A209" s="112"/>
      <c r="B209" s="59" t="s">
        <v>911</v>
      </c>
      <c r="C209" s="102"/>
      <c r="D209" s="48"/>
      <c r="E209" s="103"/>
      <c r="F209" s="104"/>
      <c r="G209" s="104"/>
      <c r="H209" s="104"/>
      <c r="I209" s="54"/>
      <c r="J209" s="55"/>
      <c r="K209" s="55">
        <f>SUM(K210:K216)</f>
        <v>0</v>
      </c>
      <c r="L209" s="105"/>
      <c r="M209" s="70"/>
      <c r="N209" s="70"/>
      <c r="O209" s="70"/>
      <c r="P209" s="106"/>
      <c r="Q209" s="106"/>
      <c r="R209" s="106"/>
      <c r="S209" s="106"/>
      <c r="T209" s="106"/>
      <c r="U209" s="106"/>
      <c r="V209" s="106"/>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row>
    <row r="210" s="23" customFormat="1" ht="24" customHeight="1" outlineLevel="2" spans="1:76">
      <c r="A210" s="61">
        <f t="shared" ref="A210:A216" si="73">A209+1</f>
        <v>1</v>
      </c>
      <c r="B210" s="64" t="s">
        <v>912</v>
      </c>
      <c r="C210" s="63" t="s">
        <v>913</v>
      </c>
      <c r="D210" s="64" t="s">
        <v>610</v>
      </c>
      <c r="E210" s="65">
        <v>5</v>
      </c>
      <c r="F210" s="66">
        <f t="shared" ref="F210:F216" si="74">S210*$S$1</f>
        <v>0</v>
      </c>
      <c r="G210" s="65">
        <f t="shared" ref="G210:G216" si="75">Q210*(1+R210)*$Q$1</f>
        <v>0</v>
      </c>
      <c r="H210" s="66">
        <f t="shared" ref="H210:H216" si="76">(T210+U210)*$T$1</f>
        <v>0</v>
      </c>
      <c r="I210" s="67">
        <f t="shared" ref="I210:I216" si="77">(F210+G210+H210)*$I$3</f>
        <v>0</v>
      </c>
      <c r="J210" s="67">
        <f t="shared" ref="J210:J216" si="78">F210+G210+H210+I210</f>
        <v>0</v>
      </c>
      <c r="K210" s="68">
        <f t="shared" ref="K210:K216" si="79">ROUND(E210*J210,2)</f>
        <v>0</v>
      </c>
      <c r="L210" s="69"/>
      <c r="M210" s="70"/>
      <c r="N210" s="70"/>
      <c r="O210" s="70"/>
      <c r="P210" s="37">
        <f t="shared" ref="P210:P216" si="80">Q210+Q210*R210+S210+T210+U210</f>
        <v>0</v>
      </c>
      <c r="Q210" s="71"/>
      <c r="R210" s="71"/>
      <c r="S210" s="71"/>
      <c r="T210" s="71"/>
      <c r="U210" s="71"/>
      <c r="V210" s="37">
        <f t="shared" ref="V210:V216" si="81">P210*E210</f>
        <v>0</v>
      </c>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row>
    <row r="211" s="23" customFormat="1" ht="24" customHeight="1" outlineLevel="2" spans="1:76">
      <c r="A211" s="61">
        <f t="shared" si="73"/>
        <v>2</v>
      </c>
      <c r="B211" s="64" t="s">
        <v>914</v>
      </c>
      <c r="C211" s="63" t="s">
        <v>915</v>
      </c>
      <c r="D211" s="64" t="s">
        <v>610</v>
      </c>
      <c r="E211" s="65">
        <v>74</v>
      </c>
      <c r="F211" s="66">
        <f t="shared" si="74"/>
        <v>0</v>
      </c>
      <c r="G211" s="65">
        <f t="shared" si="75"/>
        <v>0</v>
      </c>
      <c r="H211" s="66">
        <f t="shared" si="76"/>
        <v>0</v>
      </c>
      <c r="I211" s="67">
        <f t="shared" si="77"/>
        <v>0</v>
      </c>
      <c r="J211" s="67">
        <f t="shared" si="78"/>
        <v>0</v>
      </c>
      <c r="K211" s="68">
        <f t="shared" si="79"/>
        <v>0</v>
      </c>
      <c r="L211" s="69"/>
      <c r="M211" s="70"/>
      <c r="N211" s="70"/>
      <c r="O211" s="70"/>
      <c r="P211" s="37">
        <f t="shared" si="80"/>
        <v>0</v>
      </c>
      <c r="Q211" s="71"/>
      <c r="R211" s="71"/>
      <c r="S211" s="71"/>
      <c r="T211" s="71"/>
      <c r="U211" s="71"/>
      <c r="V211" s="37">
        <f t="shared" si="81"/>
        <v>0</v>
      </c>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row>
    <row r="212" s="23" customFormat="1" ht="36" customHeight="1" outlineLevel="2" spans="1:76">
      <c r="A212" s="61">
        <f t="shared" si="73"/>
        <v>3</v>
      </c>
      <c r="B212" s="64" t="s">
        <v>916</v>
      </c>
      <c r="C212" s="63" t="s">
        <v>917</v>
      </c>
      <c r="D212" s="64" t="s">
        <v>70</v>
      </c>
      <c r="E212" s="65">
        <v>680.663</v>
      </c>
      <c r="F212" s="66">
        <f t="shared" si="74"/>
        <v>0</v>
      </c>
      <c r="G212" s="65">
        <f t="shared" si="75"/>
        <v>0</v>
      </c>
      <c r="H212" s="66">
        <f t="shared" si="76"/>
        <v>0</v>
      </c>
      <c r="I212" s="67">
        <f t="shared" si="77"/>
        <v>0</v>
      </c>
      <c r="J212" s="67">
        <f t="shared" si="78"/>
        <v>0</v>
      </c>
      <c r="K212" s="68">
        <f t="shared" si="79"/>
        <v>0</v>
      </c>
      <c r="L212" s="69"/>
      <c r="M212" s="70"/>
      <c r="N212" s="70"/>
      <c r="O212" s="70"/>
      <c r="P212" s="37">
        <f t="shared" si="80"/>
        <v>0</v>
      </c>
      <c r="Q212" s="71"/>
      <c r="R212" s="71"/>
      <c r="S212" s="71"/>
      <c r="T212" s="71"/>
      <c r="U212" s="71"/>
      <c r="V212" s="37">
        <f t="shared" si="81"/>
        <v>0</v>
      </c>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row>
    <row r="213" s="23" customFormat="1" ht="36" customHeight="1" outlineLevel="2" spans="1:76">
      <c r="A213" s="61">
        <f t="shared" si="73"/>
        <v>4</v>
      </c>
      <c r="B213" s="64" t="s">
        <v>918</v>
      </c>
      <c r="C213" s="63" t="s">
        <v>919</v>
      </c>
      <c r="D213" s="64" t="s">
        <v>70</v>
      </c>
      <c r="E213" s="65">
        <v>688.752</v>
      </c>
      <c r="F213" s="66">
        <f t="shared" si="74"/>
        <v>0</v>
      </c>
      <c r="G213" s="65">
        <f t="shared" si="75"/>
        <v>0</v>
      </c>
      <c r="H213" s="66">
        <f t="shared" si="76"/>
        <v>0</v>
      </c>
      <c r="I213" s="67">
        <f t="shared" si="77"/>
        <v>0</v>
      </c>
      <c r="J213" s="67">
        <f t="shared" si="78"/>
        <v>0</v>
      </c>
      <c r="K213" s="68">
        <f t="shared" si="79"/>
        <v>0</v>
      </c>
      <c r="L213" s="69"/>
      <c r="M213" s="70"/>
      <c r="N213" s="70"/>
      <c r="O213" s="70"/>
      <c r="P213" s="37">
        <f t="shared" si="80"/>
        <v>0</v>
      </c>
      <c r="Q213" s="71"/>
      <c r="R213" s="71"/>
      <c r="S213" s="71"/>
      <c r="T213" s="71"/>
      <c r="U213" s="71"/>
      <c r="V213" s="37">
        <f t="shared" si="81"/>
        <v>0</v>
      </c>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row>
    <row r="214" s="23" customFormat="1" ht="36" customHeight="1" outlineLevel="2" spans="1:76">
      <c r="A214" s="61">
        <f t="shared" si="73"/>
        <v>5</v>
      </c>
      <c r="B214" s="64" t="s">
        <v>920</v>
      </c>
      <c r="C214" s="63" t="s">
        <v>921</v>
      </c>
      <c r="D214" s="64" t="s">
        <v>70</v>
      </c>
      <c r="E214" s="65">
        <v>1467.815</v>
      </c>
      <c r="F214" s="66">
        <f t="shared" si="74"/>
        <v>0</v>
      </c>
      <c r="G214" s="65">
        <f t="shared" si="75"/>
        <v>0</v>
      </c>
      <c r="H214" s="66">
        <f t="shared" si="76"/>
        <v>0</v>
      </c>
      <c r="I214" s="67">
        <f t="shared" si="77"/>
        <v>0</v>
      </c>
      <c r="J214" s="67">
        <f t="shared" si="78"/>
        <v>0</v>
      </c>
      <c r="K214" s="68">
        <f t="shared" si="79"/>
        <v>0</v>
      </c>
      <c r="L214" s="69"/>
      <c r="M214" s="70"/>
      <c r="N214" s="70"/>
      <c r="O214" s="70"/>
      <c r="P214" s="37">
        <f t="shared" si="80"/>
        <v>0</v>
      </c>
      <c r="Q214" s="71"/>
      <c r="R214" s="71"/>
      <c r="S214" s="71"/>
      <c r="T214" s="71"/>
      <c r="U214" s="71"/>
      <c r="V214" s="37">
        <f t="shared" si="81"/>
        <v>0</v>
      </c>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row>
    <row r="215" s="23" customFormat="1" ht="48" customHeight="1" outlineLevel="2" spans="1:76">
      <c r="A215" s="61">
        <f t="shared" si="73"/>
        <v>6</v>
      </c>
      <c r="B215" s="64" t="s">
        <v>922</v>
      </c>
      <c r="C215" s="63" t="s">
        <v>667</v>
      </c>
      <c r="D215" s="64" t="s">
        <v>70</v>
      </c>
      <c r="E215" s="65">
        <v>39</v>
      </c>
      <c r="F215" s="66">
        <f t="shared" si="74"/>
        <v>0</v>
      </c>
      <c r="G215" s="65">
        <f t="shared" si="75"/>
        <v>0</v>
      </c>
      <c r="H215" s="66">
        <f t="shared" si="76"/>
        <v>0</v>
      </c>
      <c r="I215" s="67">
        <f t="shared" si="77"/>
        <v>0</v>
      </c>
      <c r="J215" s="67">
        <f t="shared" si="78"/>
        <v>0</v>
      </c>
      <c r="K215" s="68">
        <f t="shared" si="79"/>
        <v>0</v>
      </c>
      <c r="L215" s="69"/>
      <c r="M215" s="70"/>
      <c r="N215" s="70"/>
      <c r="O215" s="70"/>
      <c r="P215" s="37">
        <f t="shared" si="80"/>
        <v>0</v>
      </c>
      <c r="Q215" s="71"/>
      <c r="R215" s="71"/>
      <c r="S215" s="71"/>
      <c r="T215" s="71"/>
      <c r="U215" s="71"/>
      <c r="V215" s="37">
        <f t="shared" si="81"/>
        <v>0</v>
      </c>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row>
    <row r="216" s="23" customFormat="1" ht="48" customHeight="1" outlineLevel="2" spans="1:76">
      <c r="A216" s="61">
        <f t="shared" si="73"/>
        <v>7</v>
      </c>
      <c r="B216" s="64" t="s">
        <v>923</v>
      </c>
      <c r="C216" s="63" t="s">
        <v>924</v>
      </c>
      <c r="D216" s="64" t="s">
        <v>70</v>
      </c>
      <c r="E216" s="65">
        <v>10.9</v>
      </c>
      <c r="F216" s="66">
        <f t="shared" si="74"/>
        <v>0</v>
      </c>
      <c r="G216" s="65">
        <f t="shared" si="75"/>
        <v>0</v>
      </c>
      <c r="H216" s="66">
        <f t="shared" si="76"/>
        <v>0</v>
      </c>
      <c r="I216" s="67">
        <f t="shared" si="77"/>
        <v>0</v>
      </c>
      <c r="J216" s="67">
        <f t="shared" si="78"/>
        <v>0</v>
      </c>
      <c r="K216" s="68">
        <f t="shared" si="79"/>
        <v>0</v>
      </c>
      <c r="L216" s="69"/>
      <c r="M216" s="70"/>
      <c r="N216" s="70"/>
      <c r="O216" s="70"/>
      <c r="P216" s="37">
        <f t="shared" si="80"/>
        <v>0</v>
      </c>
      <c r="Q216" s="71"/>
      <c r="R216" s="71"/>
      <c r="S216" s="71"/>
      <c r="T216" s="71"/>
      <c r="U216" s="71"/>
      <c r="V216" s="37">
        <f t="shared" si="81"/>
        <v>0</v>
      </c>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row>
    <row r="217" s="23" customFormat="1" ht="25" customHeight="1" spans="1:76">
      <c r="A217" s="112"/>
      <c r="B217" s="48" t="s">
        <v>925</v>
      </c>
      <c r="C217" s="102"/>
      <c r="D217" s="48"/>
      <c r="E217" s="103"/>
      <c r="F217" s="104"/>
      <c r="G217" s="104"/>
      <c r="H217" s="104"/>
      <c r="I217" s="54"/>
      <c r="J217" s="55"/>
      <c r="K217" s="55">
        <f>SUM(K218:K222)</f>
        <v>0</v>
      </c>
      <c r="L217" s="105"/>
      <c r="M217" s="70"/>
      <c r="N217" s="70"/>
      <c r="O217" s="70"/>
      <c r="P217" s="106"/>
      <c r="Q217" s="106"/>
      <c r="R217" s="106"/>
      <c r="S217" s="106"/>
      <c r="T217" s="106"/>
      <c r="U217" s="106"/>
      <c r="V217" s="106"/>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row>
    <row r="218" s="23" customFormat="1" ht="30" customHeight="1" outlineLevel="2" spans="1:76">
      <c r="A218" s="93">
        <f>A217+1</f>
        <v>1</v>
      </c>
      <c r="B218" s="50"/>
      <c r="C218" s="95"/>
      <c r="D218" s="50"/>
      <c r="E218" s="51"/>
      <c r="F218" s="96"/>
      <c r="G218" s="96"/>
      <c r="H218" s="96"/>
      <c r="I218" s="54">
        <f>(F218+G218+H218)*$I$3</f>
        <v>0</v>
      </c>
      <c r="J218" s="54">
        <f>F218+G218+H218+I218</f>
        <v>0</v>
      </c>
      <c r="K218" s="97">
        <f>ROUND(E218*J218,2)</f>
        <v>0</v>
      </c>
      <c r="L218" s="105"/>
      <c r="M218" s="70"/>
      <c r="N218" s="70"/>
      <c r="O218" s="70"/>
      <c r="P218" s="106"/>
      <c r="Q218" s="106"/>
      <c r="R218" s="106"/>
      <c r="S218" s="106"/>
      <c r="T218" s="106"/>
      <c r="U218" s="106"/>
      <c r="V218" s="106"/>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row>
    <row r="219" s="23" customFormat="1" ht="30" customHeight="1" outlineLevel="2" spans="1:76">
      <c r="A219" s="93">
        <f>A218+1</f>
        <v>2</v>
      </c>
      <c r="B219" s="50"/>
      <c r="C219" s="95"/>
      <c r="D219" s="113"/>
      <c r="E219" s="51"/>
      <c r="F219" s="96"/>
      <c r="G219" s="96"/>
      <c r="H219" s="96"/>
      <c r="I219" s="54">
        <f>(F219+G219+H219)*$I$3</f>
        <v>0</v>
      </c>
      <c r="J219" s="54">
        <f>F219+G219+H219+I219</f>
        <v>0</v>
      </c>
      <c r="K219" s="97">
        <f>ROUND(E219*J219,2)</f>
        <v>0</v>
      </c>
      <c r="L219" s="105"/>
      <c r="M219" s="70"/>
      <c r="N219" s="70"/>
      <c r="O219" s="70"/>
      <c r="P219" s="106"/>
      <c r="Q219" s="106"/>
      <c r="R219" s="106"/>
      <c r="S219" s="106"/>
      <c r="T219" s="106"/>
      <c r="U219" s="106"/>
      <c r="V219" s="106"/>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row>
    <row r="220" s="23" customFormat="1" ht="30" customHeight="1" outlineLevel="2" spans="1:76">
      <c r="A220" s="93">
        <f>A219+1</f>
        <v>3</v>
      </c>
      <c r="B220" s="50"/>
      <c r="C220" s="95"/>
      <c r="D220" s="113"/>
      <c r="E220" s="51"/>
      <c r="F220" s="96"/>
      <c r="G220" s="96"/>
      <c r="H220" s="96"/>
      <c r="I220" s="54">
        <f>(F220+G220+H220)*$I$3</f>
        <v>0</v>
      </c>
      <c r="J220" s="54">
        <f>F220+G220+H220+I220</f>
        <v>0</v>
      </c>
      <c r="K220" s="97">
        <f>ROUND(E220*J220,2)</f>
        <v>0</v>
      </c>
      <c r="L220" s="105"/>
      <c r="M220" s="70"/>
      <c r="N220" s="70"/>
      <c r="O220" s="70"/>
      <c r="P220" s="106"/>
      <c r="Q220" s="106"/>
      <c r="R220" s="106"/>
      <c r="S220" s="106"/>
      <c r="T220" s="106"/>
      <c r="U220" s="106"/>
      <c r="V220" s="106"/>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row>
    <row r="221" s="23" customFormat="1" ht="30" customHeight="1" outlineLevel="2" spans="1:76">
      <c r="A221" s="93">
        <f>A220+1</f>
        <v>4</v>
      </c>
      <c r="B221" s="50"/>
      <c r="C221" s="95"/>
      <c r="D221" s="113"/>
      <c r="E221" s="51"/>
      <c r="F221" s="96"/>
      <c r="G221" s="96"/>
      <c r="H221" s="96"/>
      <c r="I221" s="54">
        <f>(F221+G221+H221)*$I$3</f>
        <v>0</v>
      </c>
      <c r="J221" s="54">
        <f>F221+G221+H221+I221</f>
        <v>0</v>
      </c>
      <c r="K221" s="97">
        <f>ROUND(E221*J221,2)</f>
        <v>0</v>
      </c>
      <c r="L221" s="105"/>
      <c r="M221" s="70"/>
      <c r="N221" s="70"/>
      <c r="O221" s="70"/>
      <c r="P221" s="106"/>
      <c r="Q221" s="106"/>
      <c r="R221" s="106"/>
      <c r="S221" s="106"/>
      <c r="T221" s="106"/>
      <c r="U221" s="106"/>
      <c r="V221" s="106"/>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row>
    <row r="222" s="23" customFormat="1" ht="30" customHeight="1" outlineLevel="2" spans="1:76">
      <c r="A222" s="93">
        <f>A221+1</f>
        <v>5</v>
      </c>
      <c r="B222" s="50"/>
      <c r="C222" s="95"/>
      <c r="D222" s="113"/>
      <c r="E222" s="51"/>
      <c r="F222" s="96"/>
      <c r="G222" s="96"/>
      <c r="H222" s="96"/>
      <c r="I222" s="54">
        <f>(F222+G222+H222)*$I$3</f>
        <v>0</v>
      </c>
      <c r="J222" s="54">
        <f>F222+G222+H222+I222</f>
        <v>0</v>
      </c>
      <c r="K222" s="97">
        <f>ROUND(E222*J222,2)</f>
        <v>0</v>
      </c>
      <c r="L222" s="105"/>
      <c r="M222" s="70"/>
      <c r="N222" s="70"/>
      <c r="O222" s="70"/>
      <c r="P222" s="106"/>
      <c r="Q222" s="106"/>
      <c r="R222" s="106"/>
      <c r="S222" s="106"/>
      <c r="T222" s="106"/>
      <c r="U222" s="106"/>
      <c r="V222" s="106"/>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row>
    <row r="223" s="23" customFormat="1" ht="30" customHeight="1" spans="1:76">
      <c r="A223" s="114" t="s">
        <v>493</v>
      </c>
      <c r="B223" s="115"/>
      <c r="C223" s="116"/>
      <c r="D223" s="117"/>
      <c r="E223" s="51"/>
      <c r="F223" s="96"/>
      <c r="G223" s="96"/>
      <c r="H223" s="96"/>
      <c r="I223" s="54"/>
      <c r="J223" s="54"/>
      <c r="K223" s="55">
        <f>+K87+K112+K4+K135+K217</f>
        <v>725019.92</v>
      </c>
      <c r="L223" s="105"/>
      <c r="M223" s="70"/>
      <c r="N223" s="70"/>
      <c r="O223" s="70"/>
      <c r="P223" s="106"/>
      <c r="Q223" s="106"/>
      <c r="R223" s="106"/>
      <c r="S223" s="106"/>
      <c r="T223" s="106"/>
      <c r="U223" s="106"/>
      <c r="V223" s="106"/>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row>
    <row r="226" spans="11:11">
      <c r="K226" s="118"/>
    </row>
  </sheetData>
  <autoFilter xmlns:etc="http://www.wps.cn/officeDocument/2017/etCustomData" ref="A2:AB226" etc:filterBottomFollowUsedRange="0">
    <extLst/>
  </autoFilter>
  <mergeCells count="13">
    <mergeCell ref="A1:L1"/>
    <mergeCell ref="A223:C223"/>
    <mergeCell ref="A2:A3"/>
    <mergeCell ref="B2:B3"/>
    <mergeCell ref="C2:C3"/>
    <mergeCell ref="D2:D3"/>
    <mergeCell ref="E2:E3"/>
    <mergeCell ref="F2:F3"/>
    <mergeCell ref="G2:G3"/>
    <mergeCell ref="H2:H3"/>
    <mergeCell ref="J2:J3"/>
    <mergeCell ref="K2:K3"/>
    <mergeCell ref="L2:L3"/>
  </mergeCells>
  <pageMargins left="0.751388888888889" right="0.751388888888889" top="1" bottom="1" header="0.5" footer="0.5"/>
  <pageSetup paperSize="9" scale="80" fitToHeight="0" orientation="landscape" horizontalDpi="600"/>
  <headerFooter/>
  <rowBreaks count="1" manualBreakCount="1">
    <brk id="236"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L7"/>
  <sheetViews>
    <sheetView view="pageBreakPreview" zoomScaleNormal="100" workbookViewId="0">
      <selection activeCell="F5" sqref="F5"/>
    </sheetView>
  </sheetViews>
  <sheetFormatPr defaultColWidth="10" defaultRowHeight="11.25" outlineLevelRow="6"/>
  <cols>
    <col min="1" max="1" width="6.98333333333333" style="1" customWidth="1"/>
    <col min="2" max="2" width="24.1083333333333" style="3" customWidth="1"/>
    <col min="3" max="3" width="49.0083333333333" style="1" customWidth="1"/>
    <col min="4" max="4" width="5.63333333333333" style="1" customWidth="1"/>
    <col min="5" max="5" width="12.3833333333333" style="4" customWidth="1"/>
    <col min="6" max="9" width="12.3833333333333" style="4" customWidth="1" outlineLevel="1"/>
    <col min="10" max="10" width="12.6333333333333" style="4" customWidth="1"/>
    <col min="11" max="11" width="15.1333333333333" style="5" customWidth="1"/>
    <col min="12" max="12" width="16.0666666666667" style="6" customWidth="1"/>
    <col min="13" max="16384" width="10" style="1" customWidth="1"/>
  </cols>
  <sheetData>
    <row r="1" s="1" customFormat="1" ht="48" customHeight="1" spans="1:12">
      <c r="A1" s="7" t="s">
        <v>926</v>
      </c>
    </row>
    <row r="2" s="2" customFormat="1" ht="24" customHeight="1" spans="1:12">
      <c r="A2" s="8" t="s">
        <v>17</v>
      </c>
      <c r="B2" s="8" t="s">
        <v>41</v>
      </c>
      <c r="C2" s="8" t="s">
        <v>42</v>
      </c>
      <c r="D2" s="8" t="s">
        <v>43</v>
      </c>
      <c r="E2" s="9" t="s">
        <v>44</v>
      </c>
      <c r="F2" s="10" t="s">
        <v>45</v>
      </c>
      <c r="G2" s="10" t="s">
        <v>46</v>
      </c>
      <c r="H2" s="10" t="s">
        <v>47</v>
      </c>
      <c r="I2" s="10" t="s">
        <v>48</v>
      </c>
      <c r="J2" s="10" t="s">
        <v>49</v>
      </c>
      <c r="K2" s="11" t="s">
        <v>50</v>
      </c>
      <c r="L2" s="8" t="s">
        <v>24</v>
      </c>
    </row>
    <row r="3" s="2" customFormat="1" ht="12" customHeight="1" spans="1:12">
      <c r="A3" s="12"/>
      <c r="B3" s="12"/>
      <c r="C3" s="12"/>
      <c r="D3" s="12"/>
      <c r="E3" s="12"/>
      <c r="F3" s="12"/>
      <c r="G3" s="12"/>
      <c r="H3" s="12"/>
      <c r="I3" s="10"/>
      <c r="J3" s="12"/>
      <c r="K3" s="12"/>
      <c r="L3" s="12"/>
    </row>
    <row r="4" s="2" customFormat="1" ht="24" customHeight="1" spans="1:12">
      <c r="A4" s="8" t="s">
        <v>58</v>
      </c>
      <c r="B4" s="8" t="s">
        <v>36</v>
      </c>
      <c r="C4" s="8"/>
      <c r="D4" s="8"/>
      <c r="E4" s="13"/>
      <c r="F4" s="13"/>
      <c r="G4" s="13"/>
      <c r="H4" s="13"/>
      <c r="I4" s="13"/>
      <c r="J4" s="13"/>
      <c r="K4" s="11">
        <f>SUM(K5:K6)</f>
        <v>140606.46</v>
      </c>
      <c r="L4" s="8"/>
    </row>
    <row r="5" s="2" customFormat="1" ht="48" customHeight="1" spans="1:12">
      <c r="A5" s="14">
        <v>1</v>
      </c>
      <c r="B5" s="14" t="s">
        <v>927</v>
      </c>
      <c r="C5" s="15" t="s">
        <v>928</v>
      </c>
      <c r="D5" s="14" t="s">
        <v>63</v>
      </c>
      <c r="E5" s="16">
        <f>汇总表!C13</f>
        <v>3700.17</v>
      </c>
      <c r="F5" s="16">
        <v>20</v>
      </c>
      <c r="G5" s="16">
        <v>0</v>
      </c>
      <c r="H5" s="16">
        <v>0</v>
      </c>
      <c r="I5" s="17">
        <f>(F5+G5+H5)*$I$3</f>
        <v>0</v>
      </c>
      <c r="J5" s="18">
        <f>ROUND(SUM(F5:I5),2)</f>
        <v>20</v>
      </c>
      <c r="K5" s="19">
        <f>ROUND(J5*E5,2)</f>
        <v>74003.4</v>
      </c>
      <c r="L5" s="14"/>
    </row>
    <row r="6" s="2" customFormat="1" ht="48" customHeight="1" spans="1:12">
      <c r="A6" s="14">
        <v>2</v>
      </c>
      <c r="B6" s="14" t="s">
        <v>929</v>
      </c>
      <c r="C6" s="15" t="s">
        <v>930</v>
      </c>
      <c r="D6" s="14" t="s">
        <v>63</v>
      </c>
      <c r="E6" s="16">
        <f>E5</f>
        <v>3700.17</v>
      </c>
      <c r="F6" s="16">
        <v>18</v>
      </c>
      <c r="G6" s="16">
        <v>0</v>
      </c>
      <c r="H6" s="16">
        <v>0</v>
      </c>
      <c r="I6" s="17">
        <f>(F6+G6+H6)*$I$3</f>
        <v>0</v>
      </c>
      <c r="J6" s="18">
        <f>ROUND(SUM(F6:I6),2)</f>
        <v>18</v>
      </c>
      <c r="K6" s="19">
        <f>ROUND(J6*E6,2)</f>
        <v>66603.06</v>
      </c>
      <c r="L6" s="14"/>
    </row>
    <row r="7" s="2" customFormat="1" ht="24" customHeight="1" spans="1:12">
      <c r="A7" s="8" t="s">
        <v>119</v>
      </c>
      <c r="B7" s="8" t="s">
        <v>493</v>
      </c>
      <c r="C7" s="8"/>
      <c r="D7" s="8"/>
      <c r="E7" s="13"/>
      <c r="F7" s="13"/>
      <c r="G7" s="13"/>
      <c r="H7" s="13"/>
      <c r="I7" s="13"/>
      <c r="J7" s="13"/>
      <c r="K7" s="11">
        <f>SUM(K4:K6)/2</f>
        <v>140606.46</v>
      </c>
      <c r="L7" s="8"/>
    </row>
  </sheetData>
  <mergeCells count="12">
    <mergeCell ref="A1:L1"/>
    <mergeCell ref="A2:A3"/>
    <mergeCell ref="B2:B3"/>
    <mergeCell ref="C2:C3"/>
    <mergeCell ref="D2:D3"/>
    <mergeCell ref="E2:E3"/>
    <mergeCell ref="F2:F3"/>
    <mergeCell ref="G2:G3"/>
    <mergeCell ref="H2:H3"/>
    <mergeCell ref="J2:J3"/>
    <mergeCell ref="K2:K3"/>
    <mergeCell ref="L2:L3"/>
  </mergeCells>
  <conditionalFormatting sqref="B7">
    <cfRule type="duplicateValues" dxfId="0" priority="1"/>
  </conditionalFormatting>
  <conditionalFormatting sqref="B2 B4:B6">
    <cfRule type="duplicateValues" dxfId="0" priority="91"/>
  </conditionalFormatting>
  <printOptions horizontalCentered="1"/>
  <pageMargins left="0.472222222222222" right="0.472222222222222" top="0.590277777777778" bottom="0.590277777777778" header="0.393055555555556" footer="0.393055555555556"/>
  <pageSetup paperSize="9" scale="73" fitToHeight="0" orientation="landscape" blackAndWhite="1"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编制说明</vt:lpstr>
      <vt:lpstr>汇总表</vt:lpstr>
      <vt:lpstr>地上装修工程</vt:lpstr>
      <vt:lpstr>电梯轿厢装修工程</vt:lpstr>
      <vt:lpstr>地下室装修工程</vt:lpstr>
      <vt:lpstr>会所安装工程量清单</vt:lpstr>
      <vt:lpstr>措施费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司徒亮</dc:creator>
  <cp:lastModifiedBy>叶渭淋</cp:lastModifiedBy>
  <dcterms:created xsi:type="dcterms:W3CDTF">2023-05-19T18:28:00Z</dcterms:created>
  <dcterms:modified xsi:type="dcterms:W3CDTF">2026-07-05T08:38:01Z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1805F9AEB2A843378C15BD0E62BEB365_13</vt:lpwstr>
  </property>
  <property fmtid="{D5CDD505-2E9C-101B-9397-08002B2CF9AE}" pid="3" name="KSOProductBuildVer">
    <vt:lpwstr>2052-12.1.0.26895</vt:lpwstr>
  </property>
  <property fmtid="{D5CDD505-2E9C-101B-9397-08002B2CF9AE}" pid="4" name="KSOReadingLayout">
    <vt:bool>false</vt:bool>
  </property>
  <property fmtid="{D5CDD505-2E9C-101B-9397-08002B2CF9AE}" pid="5" name="CalculationRule">
    <vt:i4>0</vt:i4>
  </property>
</Properties>
</file>