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CF" sheetId="1" r:id="rId1"/>
    <sheet name="AV" sheetId="2" r:id="rId2"/>
    <sheet name="P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E8E8E0C9DFDC4CDFBE15299C81BB1D7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451080" y="213360"/>
          <a:ext cx="1632585" cy="2225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4B932B6ABAC44A10894372F1E343007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23860" y="7505700"/>
          <a:ext cx="8831580" cy="31165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78362C557D1B450CAE6E5F8A7B0AB26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30740" y="8164195"/>
          <a:ext cx="9105900" cy="3154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7677562388114B4A95F03EAA2E014A4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730740" y="8748395"/>
          <a:ext cx="8587740" cy="31089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3C2AD1BF6BAD4376BE27BE1DD2B689E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730740" y="10028555"/>
          <a:ext cx="8572500" cy="3025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FEA8380389DC48FDADD6FFA136129B1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370820" y="11501755"/>
          <a:ext cx="8526780" cy="2994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2944CEA2337046BCBB9B56D65B80326F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370820" y="12263755"/>
          <a:ext cx="8686800" cy="3124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9D234B17EC1741C08E8415588A9A8D6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2207220" y="10036175"/>
          <a:ext cx="11460480" cy="36118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50E02333DD054E3E8B7550014D908DA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793980" y="12238355"/>
          <a:ext cx="8557260" cy="30784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D9C9CCC276F8422C9569AB64E510FCB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793980" y="12860655"/>
          <a:ext cx="8595360" cy="31165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01FC1CD2D67418AB6672991DE179F6B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2865080" y="12441555"/>
          <a:ext cx="9814560" cy="5433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47F5654AEDD045399D9B734C2B8C415B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793980" y="182880"/>
          <a:ext cx="8983980" cy="26136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58017145DEE641C3A25FA944813480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2793980" y="1372235"/>
          <a:ext cx="8785860" cy="3040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DC4787214CD549A6867937546DFAFB3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793980" y="2477135"/>
          <a:ext cx="8648700" cy="30708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254379814980411F9C7B7207848F27B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2793980" y="3574415"/>
          <a:ext cx="8542020" cy="3025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B47257AA6A5E4BEB863619C23029131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2793980" y="5586095"/>
          <a:ext cx="8542020" cy="3101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76B7FAD746FF42039BCBF09BA6BD5B3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3884255" y="182880"/>
          <a:ext cx="2621280" cy="3002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31AA4D86A8FA45378D5750B776E20DAC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3884255" y="1372235"/>
          <a:ext cx="13068300" cy="466344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<sst xmlns="http://schemas.openxmlformats.org/spreadsheetml/2006/main" count="226" uniqueCount="153">
  <si>
    <t>品牌</t>
  </si>
  <si>
    <t>案例类型</t>
  </si>
  <si>
    <t>合作对象</t>
  </si>
  <si>
    <t>属性</t>
  </si>
  <si>
    <t>渠道</t>
  </si>
  <si>
    <t>站外提及</t>
  </si>
  <si>
    <t>平均社媒互动-ig官号</t>
  </si>
  <si>
    <t>平均社媒互动%-ig官号</t>
  </si>
  <si>
    <t>总社媒互动-官号</t>
  </si>
  <si>
    <t>粉丝量-ig(万)</t>
  </si>
  <si>
    <t>期间品牌词搜索量</t>
  </si>
  <si>
    <t>激活内容</t>
  </si>
  <si>
    <t>节奏</t>
  </si>
  <si>
    <t>SLOGAN</t>
  </si>
  <si>
    <t>主推品</t>
  </si>
  <si>
    <t>时间</t>
  </si>
  <si>
    <t>参考</t>
  </si>
  <si>
    <t>Bonobos</t>
  </si>
  <si>
    <t>明人代言</t>
  </si>
  <si>
    <t>Joe Santagato</t>
  </si>
  <si>
    <t>网红, 纽约brotherhood代表</t>
  </si>
  <si>
    <t>IG</t>
  </si>
  <si>
    <t>亚麻西装代言、 社媒发帖、TVC拍摄、 独立站banner商用</t>
  </si>
  <si>
    <t>5-4 视频预热
5-5官宣、独立站页面
5-8 TVC发布
5-16~5-22陆续发布花絮
6月赞助PODCAST节目，收尾</t>
  </si>
  <si>
    <t>summer's coming, linen's the answer</t>
  </si>
  <si>
    <t>亚麻系列</t>
  </si>
  <si>
    <t>2025/5月</t>
  </si>
  <si>
    <t>https://www.google.com/search?q=bonobos+youtube+joe+%26+frank&amp;oq=bonobos+youtube+joe+%26+frank&amp;gs_lcrp=EgZjaHJvbWUyBggAEEUYOdIBCDkxNzVqMGo0qAIAsAIB&amp;sourceid=chrome&amp;ie=UTF-8#fpstate=ive&amp;vld=cid:b6e5ab03,vid:0sYds_Sl9Q4,st:0</t>
  </si>
  <si>
    <t>RALPH LAUREN</t>
  </si>
  <si>
    <t>时装周</t>
  </si>
  <si>
    <t>NYFW</t>
  </si>
  <si>
    <t>PIN, X, news</t>
  </si>
  <si>
    <t>汉普顿线下大秀、Oprah/Usher等巨星节目、“全明星”阵容观众， lucky blue超模夫妇</t>
  </si>
  <si>
    <t>9-11 模特照片预热
9-12~9-14爆发 秀场素材
9-15~9-16 幕后素材</t>
  </si>
  <si>
    <t>2025春季纽约时装周 (Hamptons Show)</t>
  </si>
  <si>
    <t>无</t>
  </si>
  <si>
    <t>赛事</t>
  </si>
  <si>
    <t>Wimbledon</t>
  </si>
  <si>
    <t>TikTok, IG, 体育频道</t>
  </si>
  <si>
    <t>官方裁判制服更新（海军蓝西装）、Bond街旗舰店线下改造、明星观赛团（Enhypen）</t>
  </si>
  <si>
    <t>6-27预热 推出联名系列
7-3~7-17 爆发 明星素材
7-18~9-13 余热 明星素材</t>
  </si>
  <si>
    <t>运动休闲系列</t>
  </si>
  <si>
    <t>2025/7月</t>
  </si>
  <si>
    <t>TOMMY HILFIGER</t>
  </si>
  <si>
    <t>F1</t>
  </si>
  <si>
    <t>电影</t>
  </si>
  <si>
    <t>Instagram, TikTok, x</t>
  </si>
  <si>
    <t>明星大使、影视植入、TVC、 户外广告、限定系列、F1车队合作</t>
  </si>
  <si>
    <t>5月6日 预热 met gala
6月4日~6月6日爆发 官宣成为凯迪拉克F1车队2026赛季的官方服装合作伙伴。
品牌大使兼主演 Damson Idris发布 Tommy Hilfiger x F1 电影联名广告（户外广告、大巴广告），推出联名系列。
6月16日 明星推广联名系列
6月27日~7月13日 收尾 电影上映、回顾</t>
  </si>
  <si>
    <t>APXGPCollection</t>
  </si>
  <si>
    <t>街头系列</t>
  </si>
  <si>
    <t>JISOO\Pond Naravit、Phuwin Tangsakyuen、Gemini Norawit和Fourth Nattawat</t>
  </si>
  <si>
    <t>KPOP明星</t>
  </si>
  <si>
    <t>IG, X, YouTube</t>
  </si>
  <si>
    <t>明星大使</t>
  </si>
  <si>
    <t>10月24日 预热 JISOO 出镜2025 假日系列广告大片，全球发布
11月17日~11月24日 爆发 品牌大使Pond Naravit、Phuwin Tangsakyuen、Gemini Norawit和Fourth Nattawat参与品牌广告。 
YOUNGHOON参与品牌广告。
12月15日 收尾</t>
  </si>
  <si>
    <t>A Hilfiger Holiday</t>
  </si>
  <si>
    <t>毛衣等假日系列</t>
  </si>
  <si>
    <t>2025年10-12月</t>
  </si>
  <si>
    <t>NIKE</t>
  </si>
  <si>
    <t>Lil Yachty</t>
  </si>
  <si>
    <t>说唱明星</t>
  </si>
  <si>
    <t>Instagram (Lil Yachty), Reddit，X，</t>
  </si>
  <si>
    <t>明星代言、联名系列、TVC、 节目宣发</t>
  </si>
  <si>
    <t>2月20~ 4月4日预热讨论 合作推出系列鞋款新色系幸运绿
5月16日 爆发开启预购
5月22日 收尾</t>
  </si>
  <si>
    <t>Lil Yachty X nike</t>
  </si>
  <si>
    <t>运动鞋</t>
  </si>
  <si>
    <t>2025年5-7月</t>
  </si>
  <si>
    <t>联名</t>
  </si>
  <si>
    <t>LEVI'S</t>
  </si>
  <si>
    <t>IG, X,TK, YouTube</t>
  </si>
  <si>
    <t>联名、明星代言（lil yantchy上身宣传）、联名系列</t>
  </si>
  <si>
    <t>6月23日 联名预告
6月27日 爆发 预热
7月10~7月23日 收尾 正式销售</t>
  </si>
  <si>
    <t>Nike x Levi’s Denim Pack</t>
  </si>
  <si>
    <t>牛仔服系列</t>
  </si>
  <si>
    <t>SKIMS</t>
  </si>
  <si>
    <t>联名，名人代言（卡戴珊），联名系列</t>
  </si>
  <si>
    <t>2月19日爆发 官宣合作
2月26日收尾 少量报道预热
9月23日 预热 收个系列发布预告
9月26日 爆发 系列发布活动，kendall, travis等明星现身
10月1日首位 引导购物</t>
  </si>
  <si>
    <t>NikeSKIMS</t>
  </si>
  <si>
    <t>运动内衣系列</t>
  </si>
  <si>
    <t>2025年全年持续</t>
  </si>
  <si>
    <t>名人</t>
  </si>
  <si>
    <t>Beyonce</t>
  </si>
  <si>
    <t>歌手</t>
  </si>
  <si>
    <t>名人代言、名人系列</t>
  </si>
  <si>
    <t>2月17日预热 广告图片发布
2月24日爆发  广告TVC发布
4月15日爆发 广告图片发布
8月6日 爆发讨论 梅根·凯利抨击广告</t>
  </si>
  <si>
    <t>REIIMAGINE</t>
  </si>
  <si>
    <t>牛仔系列</t>
  </si>
  <si>
    <t>2025年2月，4月</t>
  </si>
  <si>
    <t>J.CREW</t>
  </si>
  <si>
    <t>Christopher John Rogers</t>
  </si>
  <si>
    <t>设计师</t>
  </si>
  <si>
    <t>IG, VOGUE</t>
  </si>
  <si>
    <t>联名系列</t>
  </si>
  <si>
    <t>10月22~11月1日</t>
  </si>
  <si>
    <t>Christopher John Rogers x J.Crew</t>
  </si>
  <si>
    <t>节日系列</t>
  </si>
  <si>
    <t>2024年秋冬季</t>
  </si>
  <si>
    <t>U.S. ski</t>
  </si>
  <si>
    <t>IG,TK</t>
  </si>
  <si>
    <t>合作商品、运动员出席活动、滑雪重要赛事中进行广告宣传</t>
  </si>
  <si>
    <t>3月20日官宣合作
12月5日 发布系列滑雪服预告
1月1~1月10日 爆发发布系列产品</t>
  </si>
  <si>
    <t>U.S. Ski x J.Crew</t>
  </si>
  <si>
    <t>滑雪服系列</t>
  </si>
  <si>
    <t>AIME LEON DORE</t>
  </si>
  <si>
    <t>Porsche</t>
  </si>
  <si>
    <t>IG, x</t>
  </si>
  <si>
    <t>合作商品、广告宣传、TVC</t>
  </si>
  <si>
    <t>11月21日 爆发 发布系列广告片
12月5日 讨论TVC收尾</t>
  </si>
  <si>
    <t>ALD x Porsche collection</t>
  </si>
  <si>
    <t>赛车风格休闲服 （毛衣衬衫$250-500, 大衣$1000)</t>
  </si>
  <si>
    <t>New balance</t>
  </si>
  <si>
    <t>ig,X</t>
  </si>
  <si>
    <t>合作商品、广告宣传</t>
  </si>
  <si>
    <t>2月12日 发布Aimé Leon Dore x New Balance 550 
3月28日 发布“Pristine Pack”系列
4月17日 运动员Bukayo Saka代言联名系列
5月20日 发布Aimé Leon Dore x New Balance RC56
6月17日 New Balance 860v2联名款预览
8月22日 Aimé Leon Dore x New Balance 991 预告</t>
  </si>
  <si>
    <t>ALD x New Balance</t>
  </si>
  <si>
    <t>2025全年</t>
  </si>
  <si>
    <t>提及</t>
  </si>
  <si>
    <t>互动</t>
  </si>
  <si>
    <t>核心创意</t>
  </si>
  <si>
    <t>HSIA</t>
  </si>
  <si>
    <t>走秀</t>
  </si>
  <si>
    <t>明星</t>
  </si>
  <si>
    <t>CARDI B</t>
  </si>
  <si>
    <t>NEIWAI</t>
  </si>
  <si>
    <t>纽约舞团</t>
  </si>
  <si>
    <t>CUUP</t>
  </si>
  <si>
    <t>线下popup</t>
  </si>
  <si>
    <t>1、预热邀请报名  
2、门店展区  
3、现场化妆服务  
4、单人试衣间</t>
  </si>
  <si>
    <t>diotima</t>
  </si>
  <si>
    <t>秀场内搭</t>
  </si>
  <si>
    <t>杂志/红毯</t>
  </si>
  <si>
    <t>伊丽莎白·奥尔森</t>
  </si>
  <si>
    <t>红毯内搭</t>
  </si>
  <si>
    <t xml:space="preserve">Skims </t>
  </si>
  <si>
    <t>Kimsmas Live!</t>
  </si>
  <si>
    <t>Halara</t>
  </si>
  <si>
    <t>线下POPUP</t>
  </si>
  <si>
    <t>运动员合作</t>
  </si>
  <si>
    <t>aschull_pb</t>
  </si>
  <si>
    <t>匹克球运动员</t>
  </si>
  <si>
    <t>社群</t>
  </si>
  <si>
    <t>halaracircle</t>
  </si>
  <si>
    <t>Vuori</t>
  </si>
  <si>
    <t>运动员</t>
  </si>
  <si>
    <t>archmanning</t>
  </si>
  <si>
    <t>jackdraper</t>
  </si>
  <si>
    <t>gavincasalegno</t>
  </si>
  <si>
    <t>Kaia Gerber</t>
  </si>
  <si>
    <t>Alo</t>
  </si>
  <si>
    <t>beyond yoga</t>
  </si>
  <si>
    <t>Issa Rae</t>
  </si>
  <si>
    <t>社区的体现：开放、热忱，以及深信运动不仅仅是身体——它是我们成长的方式。”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</si>
</sst>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yyyy&quot;年&quot;m&quot;月&quot;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.25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ill="1">
      <alignment vertical="center"/>
    </xf>
    <xf numFmtId="10" fontId="0" fillId="0" borderId="0" xfId="3" applyNumberFormat="1" applyFill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6" fontId="1" fillId="0" borderId="0" xfId="0" applyNumberFormat="1" applyFont="1" applyFill="1">
      <alignment vertical="center"/>
    </xf>
    <xf numFmtId="10" fontId="1" fillId="0" borderId="0" xfId="3" applyNumberFormat="1" applyFont="1" applyFill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3" applyNumberFormat="1">
      <alignment vertical="center"/>
    </xf>
    <xf numFmtId="14" fontId="0" fillId="0" borderId="0" xfId="0" applyNumberFormat="1">
      <alignment vertical="center"/>
    </xf>
    <xf numFmtId="176" fontId="0" fillId="0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57" fontId="0" fillId="0" borderId="0" xfId="0" applyNumberFormat="1">
      <alignment vertical="center"/>
    </xf>
    <xf numFmtId="176" fontId="0" fillId="0" borderId="0" xfId="0" applyNumberFormat="1" applyFill="1" applyAlignment="1">
      <alignment horizontal="right" vertical="center"/>
    </xf>
    <xf numFmtId="10" fontId="0" fillId="0" borderId="0" xfId="3" applyNumberFormat="1" applyFill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Font="1" applyAlignment="1">
      <alignment vertical="center" wrapText="1"/>
    </xf>
    <xf numFmtId="176" fontId="0" fillId="0" borderId="0" xfId="0" applyNumberFormat="1" applyAlignment="1">
      <alignment horizontal="right" vertical="center" wrapText="1"/>
    </xf>
    <xf numFmtId="0" fontId="2" fillId="0" borderId="0" xfId="0" applyFon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0.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6.png"/><Relationship Id="rId8" Type="http://schemas.openxmlformats.org/officeDocument/2006/relationships/image" Target="media/image15.png"/><Relationship Id="rId7" Type="http://schemas.openxmlformats.org/officeDocument/2006/relationships/image" Target="media/image14.png"/><Relationship Id="rId6" Type="http://schemas.openxmlformats.org/officeDocument/2006/relationships/image" Target="media/image13.png"/><Relationship Id="rId5" Type="http://schemas.openxmlformats.org/officeDocument/2006/relationships/image" Target="media/image12.png"/><Relationship Id="rId4" Type="http://schemas.openxmlformats.org/officeDocument/2006/relationships/image" Target="media/image11.png"/><Relationship Id="rId3" Type="http://schemas.openxmlformats.org/officeDocument/2006/relationships/image" Target="media/image10.png"/><Relationship Id="rId2" Type="http://schemas.openxmlformats.org/officeDocument/2006/relationships/image" Target="media/image9.png"/><Relationship Id="rId18" Type="http://schemas.openxmlformats.org/officeDocument/2006/relationships/image" Target="media/image25.png"/><Relationship Id="rId17" Type="http://schemas.openxmlformats.org/officeDocument/2006/relationships/image" Target="media/image24.png"/><Relationship Id="rId16" Type="http://schemas.openxmlformats.org/officeDocument/2006/relationships/image" Target="media/image23.png"/><Relationship Id="rId15" Type="http://schemas.openxmlformats.org/officeDocument/2006/relationships/image" Target="media/image22.png"/><Relationship Id="rId14" Type="http://schemas.openxmlformats.org/officeDocument/2006/relationships/image" Target="media/image21.png"/><Relationship Id="rId13" Type="http://schemas.openxmlformats.org/officeDocument/2006/relationships/image" Target="media/image20.png"/><Relationship Id="rId12" Type="http://schemas.openxmlformats.org/officeDocument/2006/relationships/image" Target="media/image19.png"/><Relationship Id="rId11" Type="http://schemas.openxmlformats.org/officeDocument/2006/relationships/image" Target="media/image18.png"/><Relationship Id="rId10" Type="http://schemas.openxmlformats.org/officeDocument/2006/relationships/image" Target="media/image17.png"/><Relationship Id="rId1" Type="http://schemas.openxmlformats.org/officeDocument/2006/relationships/image" Target="media/image8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83820</xdr:colOff>
      <xdr:row>4</xdr:row>
      <xdr:rowOff>113665</xdr:rowOff>
    </xdr:from>
    <xdr:to>
      <xdr:col>18</xdr:col>
      <xdr:colOff>74295</xdr:colOff>
      <xdr:row>4</xdr:row>
      <xdr:rowOff>1202690</xdr:rowOff>
    </xdr:to>
    <xdr:grpSp>
      <xdr:nvGrpSpPr>
        <xdr:cNvPr id="7" name="组合 6"/>
        <xdr:cNvGrpSpPr/>
      </xdr:nvGrpSpPr>
      <xdr:grpSpPr>
        <a:xfrm>
          <a:off x="6545580" y="845185"/>
          <a:ext cx="5476875" cy="1089025"/>
          <a:chOff x="15162" y="36239"/>
          <a:chExt cx="12345" cy="2678"/>
        </a:xfrm>
      </xdr:grpSpPr>
      <xdr:pic>
        <xdr:nvPicPr>
          <xdr:cNvPr id="8" name="图片 7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21704" y="36299"/>
            <a:ext cx="1573" cy="2618"/>
          </a:xfrm>
          <a:prstGeom prst="rect">
            <a:avLst/>
          </a:prstGeom>
          <a:noFill/>
          <a:ln w="9525">
            <a:noFill/>
          </a:ln>
        </xdr:spPr>
      </xdr:pic>
      <xdr:grpSp>
        <xdr:nvGrpSpPr>
          <xdr:cNvPr id="9" name="组合 8"/>
          <xdr:cNvGrpSpPr/>
        </xdr:nvGrpSpPr>
        <xdr:grpSpPr>
          <a:xfrm>
            <a:off x="15162" y="36239"/>
            <a:ext cx="6530" cy="2666"/>
            <a:chOff x="14874" y="36168"/>
            <a:chExt cx="6530" cy="2666"/>
          </a:xfrm>
        </xdr:grpSpPr>
        <xdr:pic>
          <xdr:nvPicPr>
            <xdr:cNvPr id="10" name="图片 9"/>
            <xdr:cNvPicPr>
              <a:picLocks noChangeAspect="1"/>
            </xdr:cNvPicPr>
          </xdr:nvPicPr>
          <xdr:blipFill>
            <a:blip r:embed="rId2"/>
            <a:stretch>
              <a:fillRect/>
            </a:stretch>
          </xdr:blipFill>
          <xdr:spPr>
            <a:xfrm>
              <a:off x="14874" y="36168"/>
              <a:ext cx="1928" cy="2547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11" name="图片 10"/>
            <xdr:cNvPicPr>
              <a:picLocks noChangeAspect="1"/>
            </xdr:cNvPicPr>
          </xdr:nvPicPr>
          <xdr:blipFill>
            <a:blip r:embed="rId3"/>
            <a:stretch>
              <a:fillRect/>
            </a:stretch>
          </xdr:blipFill>
          <xdr:spPr>
            <a:xfrm>
              <a:off x="16738" y="36204"/>
              <a:ext cx="1731" cy="2597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12" name="图片 11"/>
            <xdr:cNvPicPr>
              <a:picLocks noChangeAspect="1"/>
            </xdr:cNvPicPr>
          </xdr:nvPicPr>
          <xdr:blipFill>
            <a:blip r:embed="rId4"/>
            <a:stretch>
              <a:fillRect/>
            </a:stretch>
          </xdr:blipFill>
          <xdr:spPr>
            <a:xfrm>
              <a:off x="18437" y="36228"/>
              <a:ext cx="1484" cy="2546"/>
            </a:xfrm>
            <a:prstGeom prst="rect">
              <a:avLst/>
            </a:prstGeom>
            <a:noFill/>
            <a:ln w="9525">
              <a:noFill/>
            </a:ln>
          </xdr:spPr>
        </xdr:pic>
        <xdr:pic>
          <xdr:nvPicPr>
            <xdr:cNvPr id="13" name="图片 12"/>
            <xdr:cNvPicPr>
              <a:picLocks noChangeAspect="1"/>
            </xdr:cNvPicPr>
          </xdr:nvPicPr>
          <xdr:blipFill>
            <a:blip r:embed="rId5"/>
            <a:stretch>
              <a:fillRect/>
            </a:stretch>
          </xdr:blipFill>
          <xdr:spPr>
            <a:xfrm>
              <a:off x="19908" y="36228"/>
              <a:ext cx="1496" cy="2606"/>
            </a:xfrm>
            <a:prstGeom prst="rect">
              <a:avLst/>
            </a:prstGeom>
            <a:noFill/>
            <a:ln w="9525">
              <a:noFill/>
            </a:ln>
          </xdr:spPr>
        </xdr:pic>
      </xdr:grpSp>
      <xdr:pic>
        <xdr:nvPicPr>
          <xdr:cNvPr id="14" name="图片 13"/>
          <xdr:cNvPicPr>
            <a:picLocks noChangeAspect="1"/>
          </xdr:cNvPicPr>
        </xdr:nvPicPr>
        <xdr:blipFill>
          <a:blip r:embed="rId6"/>
          <a:stretch>
            <a:fillRect/>
          </a:stretch>
        </xdr:blipFill>
        <xdr:spPr>
          <a:xfrm>
            <a:off x="23270" y="36252"/>
            <a:ext cx="2015" cy="264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5" name="图片 14"/>
          <xdr:cNvPicPr>
            <a:picLocks noChangeAspect="1"/>
          </xdr:cNvPicPr>
        </xdr:nvPicPr>
        <xdr:blipFill>
          <a:blip r:embed="rId7"/>
          <a:stretch>
            <a:fillRect/>
          </a:stretch>
        </xdr:blipFill>
        <xdr:spPr>
          <a:xfrm>
            <a:off x="25320" y="36239"/>
            <a:ext cx="2187" cy="266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tabSelected="1" workbookViewId="0">
      <pane xSplit="1" ySplit="1" topLeftCell="B9" activePane="bottomRight" state="frozen"/>
      <selection/>
      <selection pane="topRight"/>
      <selection pane="bottomLeft"/>
      <selection pane="bottomRight" activeCell="D16" sqref="D16"/>
    </sheetView>
  </sheetViews>
  <sheetFormatPr defaultColWidth="8.88888888888889" defaultRowHeight="14.4"/>
  <cols>
    <col min="1" max="1" width="18" style="2" customWidth="1"/>
    <col min="2" max="2" width="24.2222222222222" customWidth="1"/>
    <col min="3" max="3" width="26.5555555555556" customWidth="1"/>
    <col min="4" max="4" width="23" customWidth="1"/>
    <col min="5" max="5" width="18.2222222222222" customWidth="1"/>
    <col min="6" max="6" width="13" style="3"/>
    <col min="7" max="7" width="24.8888888888889" style="4" customWidth="1"/>
    <col min="8" max="8" width="24.8888888888889" style="5" customWidth="1"/>
    <col min="9" max="9" width="24.8888888888889" style="3" hidden="1" customWidth="1"/>
    <col min="10" max="10" width="24.8888888888889" style="3" customWidth="1"/>
    <col min="11" max="11" width="22.2222222222222" customWidth="1"/>
    <col min="12" max="12" width="16.5555555555556" customWidth="1"/>
    <col min="13" max="13" width="28.2222222222222" customWidth="1"/>
    <col min="14" max="14" width="19.7777777777778" customWidth="1"/>
    <col min="15" max="15" width="34.1111111111111" customWidth="1"/>
    <col min="16" max="16" width="11.8888888888889"/>
    <col min="17" max="17" width="12.8148148148148"/>
    <col min="18" max="18" width="16.1203703703704"/>
    <col min="19" max="19" width="22.6666666666667" customWidth="1"/>
  </cols>
  <sheetData>
    <row r="1" s="2" customFormat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10" t="s">
        <v>16</v>
      </c>
      <c r="R1" s="10"/>
      <c r="S1" s="10"/>
    </row>
    <row r="2" ht="139.9" spans="1:19">
      <c r="A2" s="6" t="s">
        <v>17</v>
      </c>
      <c r="B2" t="s">
        <v>18</v>
      </c>
      <c r="C2" t="s">
        <v>19</v>
      </c>
      <c r="D2" t="s">
        <v>20</v>
      </c>
      <c r="E2" t="s">
        <v>21</v>
      </c>
      <c r="F2" s="3">
        <f>9+2</f>
        <v>11</v>
      </c>
      <c r="G2" s="4">
        <f>12300/1</f>
        <v>12300</v>
      </c>
      <c r="H2" s="5">
        <f>G2/171200</f>
        <v>0.0718457943925234</v>
      </c>
      <c r="I2" s="3">
        <f>12300</f>
        <v>12300</v>
      </c>
      <c r="J2" s="3">
        <v>17.12</v>
      </c>
      <c r="K2" s="11" t="str">
        <f>_xlfn.DISPIMG("ID_47F5654AEDD045399D9B734C2B8C415B",1)</f>
        <v>=DISPIMG("ID_47F5654AEDD045399D9B734C2B8C415B",1)</v>
      </c>
      <c r="L2" s="1" t="s">
        <v>22</v>
      </c>
      <c r="M2" s="1" t="s">
        <v>23</v>
      </c>
      <c r="N2" s="1" t="s">
        <v>24</v>
      </c>
      <c r="O2" s="1" t="s">
        <v>25</v>
      </c>
      <c r="P2" s="12" t="s">
        <v>26</v>
      </c>
      <c r="Q2" t="str">
        <f>_xlfn.DISPIMG("ID_E8E8E0C9DFDC4CDFBE15299C81BB1D79",1)</f>
        <v>=DISPIMG("ID_E8E8E0C9DFDC4CDFBE15299C81BB1D79",1)</v>
      </c>
      <c r="R2" t="s">
        <v>27</v>
      </c>
      <c r="S2" t="str">
        <f>_xlfn.DISPIMG("ID_76B7FAD746FF42039BCBF09BA6BD5B35",1)</f>
        <v>=DISPIMG("ID_76B7FAD746FF42039BCBF09BA6BD5B35",1)</v>
      </c>
    </row>
    <row r="3" ht="87" customHeight="1" spans="1:19">
      <c r="A3" s="6" t="s">
        <v>28</v>
      </c>
      <c r="B3" t="s">
        <v>29</v>
      </c>
      <c r="C3" t="s">
        <v>30</v>
      </c>
      <c r="D3" t="s">
        <v>29</v>
      </c>
      <c r="E3" t="s">
        <v>31</v>
      </c>
      <c r="F3" s="3">
        <v>33168</v>
      </c>
      <c r="G3" s="4">
        <f>718000/44</f>
        <v>16318.1818181818</v>
      </c>
      <c r="H3" s="5">
        <f>G3/(J3*10000)</f>
        <v>0.00097575188613655</v>
      </c>
      <c r="I3" s="3">
        <f>718000</f>
        <v>718000</v>
      </c>
      <c r="J3" s="3">
        <v>1672.37</v>
      </c>
      <c r="K3" s="11" t="str">
        <f>_xlfn.DISPIMG("ID_58017145DEE641C3A25FA94481348020",1)</f>
        <v>=DISPIMG("ID_58017145DEE641C3A25FA94481348020",1)</v>
      </c>
      <c r="L3" s="1" t="s">
        <v>32</v>
      </c>
      <c r="M3" s="1" t="s">
        <v>33</v>
      </c>
      <c r="N3" t="s">
        <v>34</v>
      </c>
      <c r="O3" t="s">
        <v>35</v>
      </c>
      <c r="P3" s="12">
        <v>45910</v>
      </c>
      <c r="S3" t="str">
        <f>_xlfn.DISPIMG("ID_31AA4D86A8FA45378D5750B776E20DAC",1)</f>
        <v>=DISPIMG("ID_31AA4D86A8FA45378D5750B776E20DAC",1)</v>
      </c>
    </row>
    <row r="4" ht="86.4" spans="1:19">
      <c r="A4" s="6" t="s">
        <v>28</v>
      </c>
      <c r="B4" t="s">
        <v>36</v>
      </c>
      <c r="C4" t="s">
        <v>37</v>
      </c>
      <c r="D4" t="s">
        <v>36</v>
      </c>
      <c r="E4" s="1" t="s">
        <v>38</v>
      </c>
      <c r="F4" s="3">
        <v>83329</v>
      </c>
      <c r="G4" s="13">
        <f>2155100/71</f>
        <v>30353.5211267606</v>
      </c>
      <c r="H4" s="5">
        <f t="shared" ref="H4:H14" si="0">G4/(J4*10000)</f>
        <v>0.00181500033645429</v>
      </c>
      <c r="I4" s="3">
        <f>2155100</f>
        <v>2155100</v>
      </c>
      <c r="J4" s="3">
        <v>1672.37</v>
      </c>
      <c r="K4" s="14" t="str">
        <f>_xlfn.DISPIMG("ID_DC4787214CD549A6867937546DFAFB30",1)</f>
        <v>=DISPIMG("ID_DC4787214CD549A6867937546DFAFB30",1)</v>
      </c>
      <c r="L4" s="1" t="s">
        <v>39</v>
      </c>
      <c r="M4" s="1" t="s">
        <v>40</v>
      </c>
      <c r="O4" t="s">
        <v>41</v>
      </c>
      <c r="P4" s="12" t="s">
        <v>42</v>
      </c>
    </row>
    <row r="5" ht="158.4" spans="1:19">
      <c r="A5" s="6" t="s">
        <v>43</v>
      </c>
      <c r="B5" t="s">
        <v>36</v>
      </c>
      <c r="C5" t="s">
        <v>44</v>
      </c>
      <c r="D5" t="s">
        <v>45</v>
      </c>
      <c r="E5" t="s">
        <v>46</v>
      </c>
      <c r="F5" s="3">
        <v>8138</v>
      </c>
      <c r="G5" s="4">
        <f>380000/33</f>
        <v>11515.1515151515</v>
      </c>
      <c r="H5" s="5">
        <f t="shared" si="0"/>
        <v>0.00075581550304892</v>
      </c>
      <c r="I5" s="3">
        <f>380000</f>
        <v>380000</v>
      </c>
      <c r="J5" s="3">
        <v>1523.54</v>
      </c>
      <c r="K5" s="14" t="str">
        <f>_xlfn.DISPIMG("ID_254379814980411F9C7B7207848F27B2",1)</f>
        <v>=DISPIMG("ID_254379814980411F9C7B7207848F27B2",1)</v>
      </c>
      <c r="L5" s="15" t="s">
        <v>47</v>
      </c>
      <c r="M5" s="15" t="s">
        <v>48</v>
      </c>
      <c r="N5" t="s">
        <v>49</v>
      </c>
      <c r="O5" t="s">
        <v>50</v>
      </c>
      <c r="P5" s="16">
        <v>45809</v>
      </c>
    </row>
    <row r="6" ht="147" customHeight="1" spans="1:19">
      <c r="A6" s="6" t="s">
        <v>43</v>
      </c>
      <c r="B6" t="s">
        <v>18</v>
      </c>
      <c r="C6" t="s">
        <v>51</v>
      </c>
      <c r="D6" t="s">
        <v>52</v>
      </c>
      <c r="E6" t="s">
        <v>53</v>
      </c>
      <c r="F6" s="3">
        <v>4323</v>
      </c>
      <c r="G6" s="4">
        <f>10000/4</f>
        <v>2500</v>
      </c>
      <c r="H6" s="5">
        <f t="shared" si="0"/>
        <v>0.000164091523688252</v>
      </c>
      <c r="I6" s="3">
        <f>10000</f>
        <v>10000</v>
      </c>
      <c r="J6" s="3">
        <v>1523.54</v>
      </c>
      <c r="K6" s="14" t="str">
        <f>_xlfn.DISPIMG("ID_B47257AA6A5E4BEB863619C230291313",1)</f>
        <v>=DISPIMG("ID_B47257AA6A5E4BEB863619C230291313",1)</v>
      </c>
      <c r="L6" t="s">
        <v>54</v>
      </c>
      <c r="M6" s="15" t="s">
        <v>55</v>
      </c>
      <c r="N6" t="s">
        <v>56</v>
      </c>
      <c r="O6" t="s">
        <v>57</v>
      </c>
      <c r="P6" t="s">
        <v>58</v>
      </c>
    </row>
    <row r="7" ht="59" customHeight="1" spans="1:19">
      <c r="A7" s="6" t="s">
        <v>59</v>
      </c>
      <c r="B7" t="s">
        <v>18</v>
      </c>
      <c r="C7" t="s">
        <v>60</v>
      </c>
      <c r="D7" t="s">
        <v>61</v>
      </c>
      <c r="E7" t="s">
        <v>62</v>
      </c>
      <c r="F7" s="3">
        <v>8466</v>
      </c>
      <c r="G7" s="17" t="s">
        <v>35</v>
      </c>
      <c r="H7" s="18" t="s">
        <v>35</v>
      </c>
      <c r="I7" s="19" t="s">
        <v>35</v>
      </c>
      <c r="J7" s="19">
        <v>29800</v>
      </c>
      <c r="K7" t="str">
        <f>_xlfn.DISPIMG("ID_4B932B6ABAC44A10894372F1E3430074",1)</f>
        <v>=DISPIMG("ID_4B932B6ABAC44A10894372F1E3430074",1)</v>
      </c>
      <c r="L7" s="15" t="s">
        <v>63</v>
      </c>
      <c r="M7" s="15" t="s">
        <v>64</v>
      </c>
      <c r="N7" t="s">
        <v>65</v>
      </c>
      <c r="O7" t="s">
        <v>66</v>
      </c>
      <c r="P7" t="s">
        <v>67</v>
      </c>
    </row>
    <row r="8" ht="46" customHeight="1" spans="1:19">
      <c r="A8" s="6" t="s">
        <v>59</v>
      </c>
      <c r="B8" t="s">
        <v>68</v>
      </c>
      <c r="C8" t="s">
        <v>69</v>
      </c>
      <c r="D8" t="s">
        <v>0</v>
      </c>
      <c r="E8" t="s">
        <v>70</v>
      </c>
      <c r="F8" s="3">
        <v>88970</v>
      </c>
      <c r="G8" s="17" t="s">
        <v>35</v>
      </c>
      <c r="H8" s="18" t="s">
        <v>35</v>
      </c>
      <c r="I8" s="19" t="s">
        <v>35</v>
      </c>
      <c r="J8" s="19">
        <v>29800</v>
      </c>
      <c r="K8" t="str">
        <f>_xlfn.DISPIMG("ID_78362C557D1B450CAE6E5F8A7B0AB261",1)</f>
        <v>=DISPIMG("ID_78362C557D1B450CAE6E5F8A7B0AB261",1)</v>
      </c>
      <c r="L8" t="s">
        <v>71</v>
      </c>
      <c r="M8" s="15" t="s">
        <v>72</v>
      </c>
      <c r="N8" t="s">
        <v>73</v>
      </c>
      <c r="O8" t="s">
        <v>74</v>
      </c>
    </row>
    <row r="9" ht="100.8" spans="1:19">
      <c r="A9" s="6" t="s">
        <v>59</v>
      </c>
      <c r="B9" t="s">
        <v>68</v>
      </c>
      <c r="C9" t="s">
        <v>75</v>
      </c>
      <c r="D9" t="s">
        <v>0</v>
      </c>
      <c r="E9" t="s">
        <v>70</v>
      </c>
      <c r="F9" s="3">
        <v>35458</v>
      </c>
      <c r="G9" s="17" t="s">
        <v>35</v>
      </c>
      <c r="H9" s="18" t="s">
        <v>35</v>
      </c>
      <c r="I9" s="19" t="s">
        <v>35</v>
      </c>
      <c r="J9" s="19">
        <v>29800</v>
      </c>
      <c r="K9" t="str">
        <f>_xlfn.DISPIMG("ID_7677562388114B4A95F03EAA2E014A40",1)</f>
        <v>=DISPIMG("ID_7677562388114B4A95F03EAA2E014A40",1)</v>
      </c>
      <c r="L9" t="s">
        <v>76</v>
      </c>
      <c r="M9" s="20" t="s">
        <v>77</v>
      </c>
      <c r="N9" t="s">
        <v>78</v>
      </c>
      <c r="O9" t="s">
        <v>79</v>
      </c>
      <c r="P9" t="s">
        <v>80</v>
      </c>
    </row>
    <row r="10" ht="72" spans="1:19">
      <c r="A10" s="6" t="s">
        <v>69</v>
      </c>
      <c r="B10" t="s">
        <v>81</v>
      </c>
      <c r="C10" t="s">
        <v>82</v>
      </c>
      <c r="D10" t="s">
        <v>83</v>
      </c>
      <c r="E10" t="s">
        <v>53</v>
      </c>
      <c r="F10" s="3">
        <v>14227</v>
      </c>
      <c r="G10" s="13">
        <f>I10/11</f>
        <v>28736.3636363636</v>
      </c>
      <c r="H10" s="5">
        <f t="shared" si="0"/>
        <v>0.00287363636363636</v>
      </c>
      <c r="I10" s="3">
        <f>21.23*10000+10.38*10000</f>
        <v>316100</v>
      </c>
      <c r="J10" s="21">
        <v>1000</v>
      </c>
      <c r="K10" t="str">
        <f>_xlfn.DISPIMG("ID_3C2AD1BF6BAD4376BE27BE1DD2B689EC",1)</f>
        <v>=DISPIMG("ID_3C2AD1BF6BAD4376BE27BE1DD2B689EC",1)</v>
      </c>
      <c r="L10" t="s">
        <v>84</v>
      </c>
      <c r="M10" s="15" t="s">
        <v>85</v>
      </c>
      <c r="N10" s="22" t="s">
        <v>86</v>
      </c>
      <c r="O10" t="s">
        <v>87</v>
      </c>
      <c r="P10" t="s">
        <v>88</v>
      </c>
      <c r="R10" t="str">
        <f>_xlfn.DISPIMG("ID_9D234B17EC1741C08E8415588A9A8D61",1)</f>
        <v>=DISPIMG("ID_9D234B17EC1741C08E8415588A9A8D61",1)</v>
      </c>
    </row>
    <row r="11" ht="60" customHeight="1" spans="1:19">
      <c r="A11" s="6" t="s">
        <v>89</v>
      </c>
      <c r="B11" t="s">
        <v>68</v>
      </c>
      <c r="C11" t="s">
        <v>90</v>
      </c>
      <c r="D11" t="s">
        <v>91</v>
      </c>
      <c r="E11" t="s">
        <v>92</v>
      </c>
      <c r="F11" s="3">
        <v>564</v>
      </c>
      <c r="G11" s="4">
        <f>I11/3</f>
        <v>1666.66666666667</v>
      </c>
      <c r="H11" s="5">
        <f t="shared" si="0"/>
        <v>0.000545161149635832</v>
      </c>
      <c r="I11" s="3">
        <v>5000</v>
      </c>
      <c r="J11" s="19">
        <v>305.72</v>
      </c>
      <c r="K11" t="str">
        <f>_xlfn.DISPIMG("ID_FEA8380389DC48FDADD6FFA136129B1F",1)</f>
        <v>=DISPIMG("ID_FEA8380389DC48FDADD6FFA136129B1F",1)</v>
      </c>
      <c r="L11" t="s">
        <v>93</v>
      </c>
      <c r="M11" t="s">
        <v>94</v>
      </c>
      <c r="N11" t="s">
        <v>95</v>
      </c>
      <c r="O11" t="s">
        <v>96</v>
      </c>
      <c r="P11" s="23" t="s">
        <v>97</v>
      </c>
    </row>
    <row r="12" ht="42" customHeight="1" spans="1:19">
      <c r="A12" s="6" t="s">
        <v>89</v>
      </c>
      <c r="B12" t="s">
        <v>36</v>
      </c>
      <c r="C12" t="s">
        <v>98</v>
      </c>
      <c r="D12" t="s">
        <v>36</v>
      </c>
      <c r="E12" t="s">
        <v>99</v>
      </c>
      <c r="F12" s="3">
        <v>549</v>
      </c>
      <c r="G12" s="4">
        <f>I12/14</f>
        <v>2485.71428571429</v>
      </c>
      <c r="H12" s="5">
        <f t="shared" si="0"/>
        <v>0.000813068914599727</v>
      </c>
      <c r="I12" s="3">
        <f>3.48*10000</f>
        <v>34800</v>
      </c>
      <c r="J12" s="19">
        <v>305.72</v>
      </c>
      <c r="K12" t="str">
        <f>_xlfn.DISPIMG("ID_2944CEA2337046BCBB9B56D65B80326F",1)</f>
        <v>=DISPIMG("ID_2944CEA2337046BCBB9B56D65B80326F",1)</v>
      </c>
      <c r="L12" t="s">
        <v>100</v>
      </c>
      <c r="M12" s="15" t="s">
        <v>101</v>
      </c>
      <c r="N12" t="s">
        <v>102</v>
      </c>
      <c r="O12" t="s">
        <v>103</v>
      </c>
      <c r="P12" s="23">
        <v>45724</v>
      </c>
    </row>
    <row r="13" ht="49" customHeight="1" spans="1:19">
      <c r="A13" s="6" t="s">
        <v>104</v>
      </c>
      <c r="B13" t="s">
        <v>68</v>
      </c>
      <c r="C13" t="s">
        <v>105</v>
      </c>
      <c r="D13" t="s">
        <v>0</v>
      </c>
      <c r="E13" t="s">
        <v>106</v>
      </c>
      <c r="F13" s="3">
        <v>27761</v>
      </c>
      <c r="G13" s="4">
        <f>I13/22</f>
        <v>31909.0909090909</v>
      </c>
      <c r="H13" s="5">
        <f t="shared" si="0"/>
        <v>0.0207552301997469</v>
      </c>
      <c r="I13" s="3">
        <f>70.2*10000</f>
        <v>702000</v>
      </c>
      <c r="J13" s="19">
        <v>153.74</v>
      </c>
      <c r="K13" t="str">
        <f>_xlfn.DISPIMG("ID_50E02333DD054E3E8B7550014D908DAF",1)</f>
        <v>=DISPIMG("ID_50E02333DD054E3E8B7550014D908DAF",1)</v>
      </c>
      <c r="L13" t="s">
        <v>107</v>
      </c>
      <c r="M13" s="15" t="s">
        <v>108</v>
      </c>
      <c r="N13" t="s">
        <v>109</v>
      </c>
      <c r="O13" t="s">
        <v>110</v>
      </c>
      <c r="P13" s="23">
        <v>45597</v>
      </c>
      <c r="R13" t="str">
        <f>_xlfn.DISPIMG("ID_801FC1CD2D67418AB6672991DE179F6B",1)</f>
        <v>=DISPIMG("ID_801FC1CD2D67418AB6672991DE179F6B",1)</v>
      </c>
    </row>
    <row r="14" ht="46" customHeight="1" spans="1:19">
      <c r="A14" s="6" t="s">
        <v>104</v>
      </c>
      <c r="B14" t="s">
        <v>68</v>
      </c>
      <c r="C14" t="s">
        <v>111</v>
      </c>
      <c r="D14" t="s">
        <v>0</v>
      </c>
      <c r="E14" t="s">
        <v>112</v>
      </c>
      <c r="F14" s="3">
        <v>4260</v>
      </c>
      <c r="G14" s="13">
        <f>I14/9</f>
        <v>136000</v>
      </c>
      <c r="H14" s="5">
        <f t="shared" si="0"/>
        <v>0.0884610381163003</v>
      </c>
      <c r="I14" s="3">
        <f>122.4*10000</f>
        <v>1224000</v>
      </c>
      <c r="J14" s="19">
        <v>153.74</v>
      </c>
      <c r="K14" t="str">
        <f>_xlfn.DISPIMG("ID_D9C9CCC276F8422C9569AB64E510FCB8",1)</f>
        <v>=DISPIMG("ID_D9C9CCC276F8422C9569AB64E510FCB8",1)</v>
      </c>
      <c r="L14" t="s">
        <v>113</v>
      </c>
      <c r="M14" s="15" t="s">
        <v>114</v>
      </c>
      <c r="N14" t="s">
        <v>115</v>
      </c>
      <c r="O14" t="s">
        <v>66</v>
      </c>
      <c r="P14" s="23" t="s">
        <v>116</v>
      </c>
    </row>
  </sheetData>
  <mergeCells count="1">
    <mergeCell ref="Q1:S1"/>
  </mergeCells>
  <conditionalFormatting sqref="F$1:F$1048576">
    <cfRule type="aboveAverage" dxfId="0" priority="3"/>
  </conditionalFormatting>
  <conditionalFormatting sqref="H$1:H$1048576">
    <cfRule type="aboveAverage" dxfId="0" priority="1"/>
  </conditionalFormatting>
  <conditionalFormatting sqref="G$1:H$1048576">
    <cfRule type="aboveAverage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F8" sqref="F8"/>
    </sheetView>
  </sheetViews>
  <sheetFormatPr defaultColWidth="8.88888888888889" defaultRowHeight="14.4" outlineLevelRow="7"/>
  <cols>
    <col min="9" max="9" width="23.111111111111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117</v>
      </c>
      <c r="G1" t="s">
        <v>118</v>
      </c>
      <c r="H1" t="s">
        <v>10</v>
      </c>
      <c r="I1" t="s">
        <v>11</v>
      </c>
      <c r="J1" t="s">
        <v>12</v>
      </c>
      <c r="K1" t="s">
        <v>119</v>
      </c>
    </row>
    <row r="2" spans="1:11">
      <c r="A2" t="s">
        <v>120</v>
      </c>
      <c r="B2" t="s">
        <v>121</v>
      </c>
    </row>
    <row r="3" spans="1:11">
      <c r="A3" t="s">
        <v>120</v>
      </c>
      <c r="B3" t="s">
        <v>122</v>
      </c>
      <c r="C3" t="s">
        <v>123</v>
      </c>
    </row>
    <row r="4" spans="1:11">
      <c r="A4" t="s">
        <v>124</v>
      </c>
      <c r="B4" t="s">
        <v>68</v>
      </c>
      <c r="C4" t="s">
        <v>125</v>
      </c>
    </row>
    <row r="5" ht="105" customHeight="1" spans="1:11">
      <c r="A5" t="s">
        <v>126</v>
      </c>
      <c r="B5" t="s">
        <v>127</v>
      </c>
      <c r="I5" s="1" t="s">
        <v>128</v>
      </c>
    </row>
    <row r="6" spans="1:11">
      <c r="A6" t="s">
        <v>126</v>
      </c>
      <c r="B6" t="s">
        <v>29</v>
      </c>
      <c r="C6" t="s">
        <v>129</v>
      </c>
      <c r="I6" t="s">
        <v>130</v>
      </c>
    </row>
    <row r="7" spans="1:11">
      <c r="A7" t="s">
        <v>126</v>
      </c>
      <c r="B7" t="s">
        <v>131</v>
      </c>
      <c r="C7" t="s">
        <v>132</v>
      </c>
      <c r="I7" t="s">
        <v>133</v>
      </c>
    </row>
    <row r="8" spans="1:11">
      <c r="A8" t="s">
        <v>134</v>
      </c>
      <c r="K8" t="s">
        <v>135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A15" sqref="A15"/>
    </sheetView>
  </sheetViews>
  <sheetFormatPr defaultColWidth="8.88888888888889" defaultRowHeight="14.4"/>
  <cols>
    <col min="1" max="1" width="26.666666666666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117</v>
      </c>
      <c r="G1" t="s">
        <v>118</v>
      </c>
      <c r="H1" t="s">
        <v>10</v>
      </c>
      <c r="I1" t="s">
        <v>11</v>
      </c>
      <c r="J1" t="s">
        <v>12</v>
      </c>
      <c r="K1" t="s">
        <v>119</v>
      </c>
    </row>
    <row r="2" spans="1:11">
      <c r="A2" t="s">
        <v>136</v>
      </c>
      <c r="B2" t="s">
        <v>137</v>
      </c>
    </row>
    <row r="3" spans="1:11">
      <c r="A3" t="s">
        <v>136</v>
      </c>
      <c r="B3" t="s">
        <v>138</v>
      </c>
      <c r="C3" t="s">
        <v>139</v>
      </c>
      <c r="D3" t="s">
        <v>140</v>
      </c>
    </row>
    <row r="4" spans="1:11">
      <c r="A4" t="s">
        <v>136</v>
      </c>
      <c r="B4" t="s">
        <v>141</v>
      </c>
      <c r="C4" t="s">
        <v>142</v>
      </c>
    </row>
    <row r="5" spans="1:11">
      <c r="A5" t="s">
        <v>143</v>
      </c>
      <c r="B5" t="s">
        <v>141</v>
      </c>
    </row>
    <row r="6" spans="1:11">
      <c r="A6" t="s">
        <v>143</v>
      </c>
      <c r="B6" t="s">
        <v>144</v>
      </c>
      <c r="C6" t="s">
        <v>145</v>
      </c>
    </row>
    <row r="7" spans="1:11">
      <c r="A7" t="s">
        <v>143</v>
      </c>
      <c r="B7" t="s">
        <v>144</v>
      </c>
      <c r="C7" t="s">
        <v>146</v>
      </c>
    </row>
    <row r="8" spans="1:11">
      <c r="A8" t="s">
        <v>143</v>
      </c>
      <c r="B8" t="s">
        <v>122</v>
      </c>
      <c r="C8" t="s">
        <v>147</v>
      </c>
    </row>
    <row r="9" spans="1:11">
      <c r="A9" t="s">
        <v>143</v>
      </c>
      <c r="B9" t="s">
        <v>122</v>
      </c>
      <c r="C9" t="s">
        <v>148</v>
      </c>
    </row>
    <row r="10" spans="1:11">
      <c r="A10" t="s">
        <v>149</v>
      </c>
    </row>
    <row r="11" spans="1:11">
      <c r="A11" t="s">
        <v>149</v>
      </c>
    </row>
    <row r="12" spans="1:11">
      <c r="A12" t="s">
        <v>149</v>
      </c>
    </row>
    <row r="13" spans="1:11">
      <c r="A13" t="s">
        <v>149</v>
      </c>
    </row>
    <row r="14" spans="1:11">
      <c r="A14" t="s">
        <v>149</v>
      </c>
    </row>
    <row r="15" spans="1:11">
      <c r="A15" t="s">
        <v>150</v>
      </c>
      <c r="B15" t="s">
        <v>141</v>
      </c>
      <c r="C15" t="s">
        <v>151</v>
      </c>
      <c r="K15" t="s">
        <v>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</vt:lpstr>
      <vt:lpstr>AV</vt:lpstr>
      <vt:lpstr>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OCD</cp:lastModifiedBy>
  <dcterms:created xsi:type="dcterms:W3CDTF">2026-01-06T01:40:00Z</dcterms:created>
  <dcterms:modified xsi:type="dcterms:W3CDTF">2026-01-13T07:32:14Z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DB7D84D1B52A488E9EA7BBBBE82BDEF9_11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